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0" windowWidth="12120" windowHeight="8835" activeTab="2"/>
  </bookViews>
  <sheets>
    <sheet name="Príjmy" sheetId="1" r:id="rId1"/>
    <sheet name="Výdaje podľa akcií" sheetId="2" r:id="rId2"/>
    <sheet name="Kapitálové" sheetId="3" r:id="rId3"/>
    <sheet name="Finančné" sheetId="4" r:id="rId4"/>
    <sheet name="Sumár" sheetId="5" r:id="rId5"/>
  </sheets>
  <externalReferences>
    <externalReference r:id="rId8"/>
  </externalReferences>
  <definedNames>
    <definedName name="_xlnm.Print_Area" localSheetId="3">'Finančné'!$A$1:$D$53</definedName>
    <definedName name="_xlnm.Print_Area" localSheetId="2">'Kapitálové'!$A$1:$E$103</definedName>
    <definedName name="_xlnm.Print_Area" localSheetId="0">'Príjmy'!$A$1:$H$106</definedName>
    <definedName name="_xlnm.Print_Area" localSheetId="1">'Výdaje podľa akcií'!$A$1:$I$195</definedName>
  </definedNames>
  <calcPr fullCalcOnLoad="1"/>
</workbook>
</file>

<file path=xl/sharedStrings.xml><?xml version="1.0" encoding="utf-8"?>
<sst xmlns="http://schemas.openxmlformats.org/spreadsheetml/2006/main" count="992" uniqueCount="531">
  <si>
    <t>Kód</t>
  </si>
  <si>
    <t>Daň z nehnuteľností</t>
  </si>
  <si>
    <t>Za psa</t>
  </si>
  <si>
    <t>Za nevýherné hracie prístroje</t>
  </si>
  <si>
    <t>Za predajné automaty</t>
  </si>
  <si>
    <t>Za ubytovanie</t>
  </si>
  <si>
    <t>Za užívanie verejného priestranstva</t>
  </si>
  <si>
    <t>Za komunálne odpady a drobné stavebné odpady</t>
  </si>
  <si>
    <t>Dividendy</t>
  </si>
  <si>
    <t>Z prenajatých pozemkov</t>
  </si>
  <si>
    <t>Z prenajatých budov, priestorov a objektov</t>
  </si>
  <si>
    <t>Ostatné poplatky</t>
  </si>
  <si>
    <t>Pokuty a penále</t>
  </si>
  <si>
    <t>Za znečisťovanie ovzdušia</t>
  </si>
  <si>
    <t>Úroky z domácich úverov, pôžičiek a vkladov</t>
  </si>
  <si>
    <t>Z výťažkov z lotérií a iných podobných hier</t>
  </si>
  <si>
    <t>Zo štátneho rozpočtu</t>
  </si>
  <si>
    <t>SPOLU</t>
  </si>
  <si>
    <t xml:space="preserve">Názov                                  </t>
  </si>
  <si>
    <t>Názov</t>
  </si>
  <si>
    <t>Kó</t>
  </si>
  <si>
    <t>d</t>
  </si>
  <si>
    <t>01.</t>
  </si>
  <si>
    <t>=</t>
  </si>
  <si>
    <t>Spolu za Výdavky verejnej správy</t>
  </si>
  <si>
    <t>členské príspevky</t>
  </si>
  <si>
    <t>Rekr. zariadenie Dolná Strehová</t>
  </si>
  <si>
    <t>ODDELENIE EKONOMICKÉ</t>
  </si>
  <si>
    <t>ODDELENIE MAJETKOVO-PRÁVNE</t>
  </si>
  <si>
    <t>VPS</t>
  </si>
  <si>
    <t>Parkoviská</t>
  </si>
  <si>
    <t>Verejné WC</t>
  </si>
  <si>
    <t>TRHOVISKO</t>
  </si>
  <si>
    <t>Cintorínske služby</t>
  </si>
  <si>
    <t>Stavebný úrad</t>
  </si>
  <si>
    <t>Bytová politika</t>
  </si>
  <si>
    <t>Projekty 2005</t>
  </si>
  <si>
    <t>Projekt - Interreg - cezhraničná spolupráca /napr.separ.zber/</t>
  </si>
  <si>
    <t>Propagácia mesta</t>
  </si>
  <si>
    <t>Zahraničné vzťahy</t>
  </si>
  <si>
    <t>REGIONÁLNY ROZVOJ</t>
  </si>
  <si>
    <t>PRÍDAVKY NA DETI - prenesené kompetencie</t>
  </si>
  <si>
    <t>Domov dôchodcov "Náruč"</t>
  </si>
  <si>
    <t>SPRÁVA ÚRADU - VECNÉ VÝDAVKY</t>
  </si>
  <si>
    <t>Matrika</t>
  </si>
  <si>
    <t>INFORMATIKA</t>
  </si>
  <si>
    <t>Prechod SÚM - NÚM</t>
  </si>
  <si>
    <t>Ročná podpora CORA,ORACLE,NOD 32</t>
  </si>
  <si>
    <t>Poslanci, členovia komisií</t>
  </si>
  <si>
    <t>Študentský parlament</t>
  </si>
  <si>
    <t>Finančná a rozpočtová oblasť</t>
  </si>
  <si>
    <t>Komunálny odpad</t>
  </si>
  <si>
    <t>7.0</t>
  </si>
  <si>
    <t>Transakcie verejného dlhu</t>
  </si>
  <si>
    <t>02.</t>
  </si>
  <si>
    <t>2.0</t>
  </si>
  <si>
    <t>Civilná ochrana</t>
  </si>
  <si>
    <t>CO</t>
  </si>
  <si>
    <t>03.</t>
  </si>
  <si>
    <t>1.0</t>
  </si>
  <si>
    <t>Policajné služby</t>
  </si>
  <si>
    <t>MESTSKÁ POLÍCIA</t>
  </si>
  <si>
    <t>Ochrana pred požiarmi</t>
  </si>
  <si>
    <t>VPZ</t>
  </si>
  <si>
    <t>04.</t>
  </si>
  <si>
    <t>Lesníctvo</t>
  </si>
  <si>
    <t>TANAP</t>
  </si>
  <si>
    <t>Cestná doprava</t>
  </si>
  <si>
    <t>Údržba miestnych komunikácií</t>
  </si>
  <si>
    <t>Cestovný ruch</t>
  </si>
  <si>
    <t>Projekt - INFORMAČNÝ TELEVÍZNY KANÁL</t>
  </si>
  <si>
    <t>05.</t>
  </si>
  <si>
    <t>Nakladanie s odpadmi</t>
  </si>
  <si>
    <t>Čistenie mesta</t>
  </si>
  <si>
    <t>Nakladanie s odpadovými vodami</t>
  </si>
  <si>
    <t>Údržba kanalizácie</t>
  </si>
  <si>
    <t>06.</t>
  </si>
  <si>
    <t>Rozvoj obcí</t>
  </si>
  <si>
    <t>Údržba verejnej zelene</t>
  </si>
  <si>
    <t>aktivačná činnosť</t>
  </si>
  <si>
    <t>4.0</t>
  </si>
  <si>
    <t>Verejné osvetlenie</t>
  </si>
  <si>
    <t>07.</t>
  </si>
  <si>
    <t>Všeobecná nemocničná starostlivosť</t>
  </si>
  <si>
    <t>08.</t>
  </si>
  <si>
    <t>Rekreačné a športové služby</t>
  </si>
  <si>
    <t>STZ</t>
  </si>
  <si>
    <t>Spolu za Kultúrne služby</t>
  </si>
  <si>
    <t>MsKS</t>
  </si>
  <si>
    <t>MsKs - knihy</t>
  </si>
  <si>
    <t>Náboženské a iné spoločenské služby</t>
  </si>
  <si>
    <t>Dotácie poskytnuté podľa VZN - primátor</t>
  </si>
  <si>
    <t>Dotácie poskytnuté podľa VZN - MsZ</t>
  </si>
  <si>
    <t>Občianske obrady</t>
  </si>
  <si>
    <t>6.0</t>
  </si>
  <si>
    <t>Rekreácia, kultúra a náboženstvo inde neklasifikované</t>
  </si>
  <si>
    <t>Príspevok - ÚTULOK</t>
  </si>
  <si>
    <t>09.</t>
  </si>
  <si>
    <t>ŠKOLSTVO - prenesené komp.- osobné výdavky</t>
  </si>
  <si>
    <t>ŠKOLSTVO - prenesené komp. - vecné výdavky</t>
  </si>
  <si>
    <t>ŠKOLSTVO - originálne komp. - osobné výdavky</t>
  </si>
  <si>
    <t>ŠKOLSTVO - originálne komp. - vecné výdavky</t>
  </si>
  <si>
    <t>Decentralizačná dotácia - školské pomôcky z ÚPSVaR</t>
  </si>
  <si>
    <t>Decentralizačná dotácia - strava pre soc. slabých</t>
  </si>
  <si>
    <t>Decentralizačná dotácia - dopravné (školstvo)</t>
  </si>
  <si>
    <t>Decentralizačná dotácia - etika a náboženstvo (školstvo)</t>
  </si>
  <si>
    <t>Decentralizačná dotácia - školstvo  -  asistenti</t>
  </si>
  <si>
    <t>Decentralizačná dotácia - školstvo - nadané detí</t>
  </si>
  <si>
    <t>Decentralizačná dotácia - školstvo - štipendiá</t>
  </si>
  <si>
    <t>Decentralizačná dotácia - školstvo - vzdelávacie poukazy</t>
  </si>
  <si>
    <t>Decentralizačná dotácia - školstvo - súťaže</t>
  </si>
  <si>
    <t>ŠKOLSTVO - bežná údržba ZŠ</t>
  </si>
  <si>
    <t>ŠKOLSKÝ ÚRAD</t>
  </si>
  <si>
    <t>5.0</t>
  </si>
  <si>
    <t>10.</t>
  </si>
  <si>
    <t>Spolu za Staroba</t>
  </si>
  <si>
    <t>Príspevky starí ľudia  - na dávku v hmotnej núdzi</t>
  </si>
  <si>
    <t>Príspevky na stravné dôchodcom - na dávku v hm. núdzi</t>
  </si>
  <si>
    <t>Klub dôchodcov</t>
  </si>
  <si>
    <t>OPATROVATEĽKY</t>
  </si>
  <si>
    <t>Dom opatrovateľskej služby</t>
  </si>
  <si>
    <t>Spolu za Rodina a deti</t>
  </si>
  <si>
    <t>Príspevky pre rodiny s deťmi - na dávku v hmotnej núdzi</t>
  </si>
  <si>
    <t>Stacionár</t>
  </si>
  <si>
    <t>Nezamestnanosť</t>
  </si>
  <si>
    <t>Jednorázová dávka soc. pomoci - na dávku v hm. núdzi</t>
  </si>
  <si>
    <t xml:space="preserve">Názov                                   </t>
  </si>
  <si>
    <t>1.1</t>
  </si>
  <si>
    <t>01</t>
  </si>
  <si>
    <t>00</t>
  </si>
  <si>
    <t>02</t>
  </si>
  <si>
    <t>03</t>
  </si>
  <si>
    <t>1.2</t>
  </si>
  <si>
    <t>04</t>
  </si>
  <si>
    <t>05</t>
  </si>
  <si>
    <t>2.2</t>
  </si>
  <si>
    <t>5.1</t>
  </si>
  <si>
    <t>7.3</t>
  </si>
  <si>
    <t>06</t>
  </si>
  <si>
    <t>3.1</t>
  </si>
  <si>
    <t>08</t>
  </si>
  <si>
    <t>30</t>
  </si>
  <si>
    <t>20</t>
  </si>
  <si>
    <t>19</t>
  </si>
  <si>
    <t>Separovaný zber</t>
  </si>
  <si>
    <t>Zoznam</t>
  </si>
  <si>
    <t>Kapitálové výdaje</t>
  </si>
  <si>
    <t>KTV - rozširovanie stavby</t>
  </si>
  <si>
    <t>Kapitálové príjmy</t>
  </si>
  <si>
    <t>Finančné príjmy</t>
  </si>
  <si>
    <t>Finančné výdaje</t>
  </si>
  <si>
    <t>Splátky úveru Dexia - rekonštrukcia MPR</t>
  </si>
  <si>
    <t>Splátky úveru ŠFRB - 32 bytový dom JUH</t>
  </si>
  <si>
    <t>Splátky úveru Dexia - obligácie</t>
  </si>
  <si>
    <t>Splátky úveru ŠFRB - 26 bytový dom JUH</t>
  </si>
  <si>
    <t>Splátky úveru ŠFRB - 23 bytový dom JUH</t>
  </si>
  <si>
    <t>1.</t>
  </si>
  <si>
    <t>Spolu za školstvo</t>
  </si>
  <si>
    <t>3.0</t>
  </si>
  <si>
    <t>Vysielacie a vydavateľské služby</t>
  </si>
  <si>
    <t>40</t>
  </si>
  <si>
    <t>MsKs - noviny</t>
  </si>
  <si>
    <t>2005 - pôv.</t>
  </si>
  <si>
    <t>Výhľad zmeny</t>
  </si>
  <si>
    <t>inflácia</t>
  </si>
  <si>
    <t>rast reálnych miezd</t>
  </si>
  <si>
    <t>bez zmeny</t>
  </si>
  <si>
    <t>i+r; +"JUH"</t>
  </si>
  <si>
    <t xml:space="preserve"> - TANAP</t>
  </si>
  <si>
    <t xml:space="preserve"> - NsP</t>
  </si>
  <si>
    <t>i</t>
  </si>
  <si>
    <t xml:space="preserve">Poplatky - verejné WC             </t>
  </si>
  <si>
    <t xml:space="preserve">STACIONÁR  - poplatok za služby      </t>
  </si>
  <si>
    <t xml:space="preserve">MsP - PCO, poplatok za  služby          </t>
  </si>
  <si>
    <t xml:space="preserve">Cintorínske poplatky       </t>
  </si>
  <si>
    <t xml:space="preserve">OPATROVATEĽKY - poplatok za opatr. službu  </t>
  </si>
  <si>
    <t xml:space="preserve">Separ.zber - príjem z vysepar.komodít </t>
  </si>
  <si>
    <t>odhad 10%</t>
  </si>
  <si>
    <t>Iné príjmy - zisk KTV</t>
  </si>
  <si>
    <t>Granty - Stacionár</t>
  </si>
  <si>
    <t>bez vplyvu na rozpočet mesta</t>
  </si>
  <si>
    <t>Zo štátneho účelového fondu - separ. zber</t>
  </si>
  <si>
    <t>bez vplyvu na rozpočet mesta (Stav. úrad)</t>
  </si>
  <si>
    <t>A</t>
  </si>
  <si>
    <t>i+r;</t>
  </si>
  <si>
    <t>už nie je</t>
  </si>
  <si>
    <t xml:space="preserve">B </t>
  </si>
  <si>
    <t>B</t>
  </si>
  <si>
    <t>i+1/2r;</t>
  </si>
  <si>
    <t>rok 2006*2</t>
  </si>
  <si>
    <t>bez revízií</t>
  </si>
  <si>
    <t>nebude</t>
  </si>
  <si>
    <t>A ?</t>
  </si>
  <si>
    <t>i+r</t>
  </si>
  <si>
    <t>*</t>
  </si>
  <si>
    <t>financované z príjmu z lesov</t>
  </si>
  <si>
    <t>Predaj domov na námestí</t>
  </si>
  <si>
    <t>Nákup náhradných bytov pre občanov z námestia</t>
  </si>
  <si>
    <t>Rozdiel:</t>
  </si>
  <si>
    <t>2006 s J</t>
  </si>
  <si>
    <t>O-C</t>
  </si>
  <si>
    <t>A-1</t>
  </si>
  <si>
    <t>B-1</t>
  </si>
  <si>
    <t>F-1</t>
  </si>
  <si>
    <t>G-2</t>
  </si>
  <si>
    <t>??? Výstavba WC + bufetu - amfiteáter</t>
  </si>
  <si>
    <t>??? Výstavba športovísk - Kuzmányho, Košická</t>
  </si>
  <si>
    <t>Spolufinancovanie navigačný systém v meste</t>
  </si>
  <si>
    <t>CN 832 200</t>
  </si>
  <si>
    <t>C-1</t>
  </si>
  <si>
    <t xml:space="preserve">Spolufin. - skvalitnenie počítačových interných sietí - aj A-3, B-1 </t>
  </si>
  <si>
    <t>CN 3 700 000</t>
  </si>
  <si>
    <t>A-3</t>
  </si>
  <si>
    <t>Spolufin. - 2 informačné panely</t>
  </si>
  <si>
    <t>spolupráca s VÚC</t>
  </si>
  <si>
    <t>Kežmarská televízia</t>
  </si>
  <si>
    <t>všetky</t>
  </si>
  <si>
    <t>Starostlivosť o psov</t>
  </si>
  <si>
    <t>Lesopark</t>
  </si>
  <si>
    <t>VZN - dotácie pre športové kluby</t>
  </si>
  <si>
    <t>Pre makroekonomické ukazovatele (odhad MF SR):</t>
  </si>
  <si>
    <t>Bežné príjmy</t>
  </si>
  <si>
    <t>Rekonštrukcia cesty ku hájovni</t>
  </si>
  <si>
    <t>Zriadenie dočasného WC pri evanjelických kostoloch</t>
  </si>
  <si>
    <t>Výstavba parkoviska - ul. Baštová</t>
  </si>
  <si>
    <t>??? Výstavba parkoviska - ul. Garbiarska</t>
  </si>
  <si>
    <t>E-6</t>
  </si>
  <si>
    <t>B-3</t>
  </si>
  <si>
    <t>C-5</t>
  </si>
  <si>
    <t>C-4</t>
  </si>
  <si>
    <t>G-1</t>
  </si>
  <si>
    <t>oblasť - cieľ</t>
  </si>
  <si>
    <t>Prevod z fondu rozvoja bývania</t>
  </si>
  <si>
    <t>Poznámky</t>
  </si>
  <si>
    <t>Dostavba centra námestia a oddychovej zóny pri radnici</t>
  </si>
  <si>
    <t>50</t>
  </si>
  <si>
    <t>Komunitná sociálna práca</t>
  </si>
  <si>
    <t>Ďalšie sociálne služby</t>
  </si>
  <si>
    <t>CN 7500000</t>
  </si>
  <si>
    <t>podľa prebytku KTV z bež.op.</t>
  </si>
  <si>
    <t>Predaj pozemkov</t>
  </si>
  <si>
    <t>Nákup pozemkov - majetkové usporiadania</t>
  </si>
  <si>
    <t>Spolu</t>
  </si>
  <si>
    <t>TANAP - lesopestovateľská činnosť</t>
  </si>
  <si>
    <t>80</t>
  </si>
  <si>
    <t xml:space="preserve"> </t>
  </si>
  <si>
    <t>Prevod prostriedkov zbierky "Kalamita"</t>
  </si>
  <si>
    <t>Úroky - Investičný úver - Rekonštrukcia infraštruktúry MPR</t>
  </si>
  <si>
    <t>Úroky - Investičný úver - 32 bytový dom JUH</t>
  </si>
  <si>
    <t>Úroky - Investičný úver - splatenie obligácií</t>
  </si>
  <si>
    <t>Úroky - Investičný úver - 26 bytový dom JUH</t>
  </si>
  <si>
    <t>Úroky - Investičný úver - 23 bytový dom JUH</t>
  </si>
  <si>
    <t>?</t>
  </si>
  <si>
    <t>Spolufinancovanie Dom Euroregiónu</t>
  </si>
  <si>
    <t>CN 700 000</t>
  </si>
  <si>
    <t>(z 1 mil., CN 12 646 000)</t>
  </si>
  <si>
    <t>nemám podklad</t>
  </si>
  <si>
    <t>2006 8/05</t>
  </si>
  <si>
    <t>2006 10/05</t>
  </si>
  <si>
    <t>Domov dôchodcov</t>
  </si>
  <si>
    <t>Vlastné príjmy rozpočtových organizácií:</t>
  </si>
  <si>
    <t>Staroba:</t>
  </si>
  <si>
    <t>Školstvo - prenesené kompetencie:</t>
  </si>
  <si>
    <t>ZŠ Hradné námestie</t>
  </si>
  <si>
    <t>ZŠ ul. Dr. D. Fischera</t>
  </si>
  <si>
    <t>Školstvo - originálne kompetencie:</t>
  </si>
  <si>
    <t>ŠJ ul. Dr. D. Fischera</t>
  </si>
  <si>
    <t>ZŠ Nižná Brána</t>
  </si>
  <si>
    <t>ŠJ Nižná Brána</t>
  </si>
  <si>
    <t>ŠKD Hradné námestie</t>
  </si>
  <si>
    <t>ŠKD ul. Dr. D. Fischera</t>
  </si>
  <si>
    <t>ŠKD Nižná Brána</t>
  </si>
  <si>
    <t>MŠ Kuzmányho</t>
  </si>
  <si>
    <t>MŠ Cintorínska</t>
  </si>
  <si>
    <t>MŠ Kušnierska</t>
  </si>
  <si>
    <t>MŠ Severná</t>
  </si>
  <si>
    <t>ŠJ Kuzmányho</t>
  </si>
  <si>
    <t>ŠJ Cintorínska</t>
  </si>
  <si>
    <t>ŠJ Kušnierska</t>
  </si>
  <si>
    <t>ŠJ Severná</t>
  </si>
  <si>
    <t>Centrum voľného času</t>
  </si>
  <si>
    <t>ZUŠ A. Cígera</t>
  </si>
  <si>
    <t>ZUŠ, ul. Dr. Fischera 2</t>
  </si>
  <si>
    <t>ZŠ N. Brána - Školské šport. stredisko</t>
  </si>
  <si>
    <t>z toho 1 000 odpad</t>
  </si>
  <si>
    <t>z toho 500 odpad</t>
  </si>
  <si>
    <t>z toho 300 odpad</t>
  </si>
  <si>
    <t>Výdavky rozpočtových organizácií:</t>
  </si>
  <si>
    <t>Domov dôchodcov - osobné výdavky</t>
  </si>
  <si>
    <t>Domov dôchodcov - vecné výdavky</t>
  </si>
  <si>
    <t>ZŠ Hradné námestie - osobné výdavky</t>
  </si>
  <si>
    <t>ZŠ Hradné námestie - vecné výdavky</t>
  </si>
  <si>
    <t>ZŠ ul. Dr. D. Fischera - osobné výdavky</t>
  </si>
  <si>
    <t>ZŠ N. Brána - Školské šport. stredisko - osobné výdavky</t>
  </si>
  <si>
    <t>ŠJ Možiarska</t>
  </si>
  <si>
    <t>MŠ Možiarska</t>
  </si>
  <si>
    <t>ZŠ Nižná Brána - osobné výdavky</t>
  </si>
  <si>
    <t>ŠJ ul. Dr. D. Fischera - osobné výdavky</t>
  </si>
  <si>
    <t>ŠJ Nižná Brána - osobné výdavky</t>
  </si>
  <si>
    <t>ŠKD Hradné námestie - osobné výdavky</t>
  </si>
  <si>
    <t>ŠKD ul. Dr. D. Fischera - osobné výdavky</t>
  </si>
  <si>
    <t>ŠKD Nižná Brána - osobné výdavky</t>
  </si>
  <si>
    <t>Centrum voľného času - osobné výdavky</t>
  </si>
  <si>
    <t>ZUŠ A. Cígera - osobné výdavky</t>
  </si>
  <si>
    <t>ZUŠ, ul. Dr. Fischera 2 - osobné výdavky</t>
  </si>
  <si>
    <t>ZŠ ul. Dr. D. Fischera - vecné výdavky</t>
  </si>
  <si>
    <t>ZŠ Nižná Brána - vecné výdavky</t>
  </si>
  <si>
    <t>ŠJ ul. Dr. D. Fischera - vecné výdavky</t>
  </si>
  <si>
    <t>ŠJ Nižná Brána - vecné výdavky</t>
  </si>
  <si>
    <t>ŠKD Hradné námestie - vecné výdavky</t>
  </si>
  <si>
    <t>ŠKD ul. Dr. D. Fischera - vecné výdavky</t>
  </si>
  <si>
    <t>ŠKD Nižná Brána - vecné výdavky</t>
  </si>
  <si>
    <t>Centrum voľného času - vecné výdavky</t>
  </si>
  <si>
    <t>ZUŠ A. Cígera - vecné výdavky</t>
  </si>
  <si>
    <t>ZUŠ, ul. Dr. Fischera 2 - vecné výdavky</t>
  </si>
  <si>
    <t xml:space="preserve">Podiel z výnosu dane zo závislej činnosti </t>
  </si>
  <si>
    <t>Daňové príjmy</t>
  </si>
  <si>
    <t>Dane z príjmov, ziskov a kapitálového majetku</t>
  </si>
  <si>
    <t>Daň z príjmov fyzických osôb</t>
  </si>
  <si>
    <t>Dane z majetku</t>
  </si>
  <si>
    <t>Z pozemkov</t>
  </si>
  <si>
    <t>Zo stavieb</t>
  </si>
  <si>
    <t>Z bytov</t>
  </si>
  <si>
    <t>Dane za tovary a služby</t>
  </si>
  <si>
    <t>Dane za špecifické služby</t>
  </si>
  <si>
    <t>Nedaňové príjmy</t>
  </si>
  <si>
    <t>Príjmy z podnikania a z vlastníctva majetku</t>
  </si>
  <si>
    <t>Príjmy z podnikania</t>
  </si>
  <si>
    <t>Príjmy z vlastníctva</t>
  </si>
  <si>
    <t>Administratívne a iné poplatky a platby</t>
  </si>
  <si>
    <t>Administratívne poplatky</t>
  </si>
  <si>
    <t>Za porušenie ostatných predpisov</t>
  </si>
  <si>
    <t>Poplatky a platby z nepriemyselného a náhodného predaja a služieb</t>
  </si>
  <si>
    <t>Za predaj výrobkov, tovarov a služieb</t>
  </si>
  <si>
    <t>Ďaľšie administratívne a iné poplatky a platby</t>
  </si>
  <si>
    <t>Z termínovaných vkladov</t>
  </si>
  <si>
    <t>Iné nedaňové príjmy</t>
  </si>
  <si>
    <t>Ostatné príjmy</t>
  </si>
  <si>
    <t>Granty a transfery</t>
  </si>
  <si>
    <t>Tuzemské bežné granty a transfery</t>
  </si>
  <si>
    <t>Transfery na rovnakej úrovni</t>
  </si>
  <si>
    <t>Úroky z vkladov</t>
  </si>
  <si>
    <t>Za užívanie verejného priestranstva - parkoviská</t>
  </si>
  <si>
    <t>Za užívanie verejného priestranstva - ostatné</t>
  </si>
  <si>
    <t>Ostatné poplatky - výherné automary</t>
  </si>
  <si>
    <t>Ostatné poplatky - ostatné MsÚ</t>
  </si>
  <si>
    <t>Ostatné poplatky - Stavebný úrad</t>
  </si>
  <si>
    <t>Ostatné poplatky - Matrika</t>
  </si>
  <si>
    <t>Za stravné - Stacionár</t>
  </si>
  <si>
    <t>31</t>
  </si>
  <si>
    <t>25</t>
  </si>
  <si>
    <t>10</t>
  </si>
  <si>
    <t>51</t>
  </si>
  <si>
    <t>52</t>
  </si>
  <si>
    <t>90</t>
  </si>
  <si>
    <t>26</t>
  </si>
  <si>
    <t>53</t>
  </si>
  <si>
    <t>54</t>
  </si>
  <si>
    <t>55</t>
  </si>
  <si>
    <t>81</t>
  </si>
  <si>
    <t>82</t>
  </si>
  <si>
    <t>Bežné výdavky</t>
  </si>
  <si>
    <t>Rozp. org.</t>
  </si>
  <si>
    <t>Rozdiel</t>
  </si>
  <si>
    <t>Kapitálové výdavky</t>
  </si>
  <si>
    <t>Finančné výdavky</t>
  </si>
  <si>
    <t>R O Z P O Č E T   PRE  ROK  2006 -  rekapitulácia</t>
  </si>
  <si>
    <t>reprezentačné výdavky</t>
  </si>
  <si>
    <t>Zo štátneho rozpočtu - Domov dôchodcov</t>
  </si>
  <si>
    <t>Zo štátneho rozpočtu - Školský úrad</t>
  </si>
  <si>
    <t>Zo štátneho rozpočtu - Aktivačná činnosť</t>
  </si>
  <si>
    <t>Zo štátneho rozpočtu - Matrika</t>
  </si>
  <si>
    <t>Zo štátneho rozpočtu - Stavebný úrad</t>
  </si>
  <si>
    <t>Zo štátneho rozpočtu - Bytová politika</t>
  </si>
  <si>
    <t>Zo štátneho rozpočtu - školstvo prenes. kompetencie</t>
  </si>
  <si>
    <t>Zo štátneho rozpočtu - školstvo - účelové dotácie</t>
  </si>
  <si>
    <t>Zo štátneho rozpočtu - komunitná práca</t>
  </si>
  <si>
    <t xml:space="preserve">nákup kopírky 100,bezb.p.150/ </t>
  </si>
  <si>
    <t>Oš</t>
  </si>
  <si>
    <t>bez účel. dot., netto</t>
  </si>
  <si>
    <t>v príjmoch na orig. komp.</t>
  </si>
  <si>
    <t>rozdiel DD</t>
  </si>
  <si>
    <t>príjem DD</t>
  </si>
  <si>
    <t>netto DD + kapitálové</t>
  </si>
  <si>
    <t>Z prenajatých budov, priestorov a objektov - nebytové priest.</t>
  </si>
  <si>
    <t>Z prenajatých budov, priestorov a objektov - byty</t>
  </si>
  <si>
    <t>Z rozpočtu vyššieho územného celku - Stacionár</t>
  </si>
  <si>
    <t>Z rozpočtu obce - Spoločný stavebný úrad</t>
  </si>
  <si>
    <t>09</t>
  </si>
  <si>
    <t>Úroky - Investičný úver - bytový dom JUH - Košická 2006</t>
  </si>
  <si>
    <t>MHD (predtým MHD+drobná údržba)</t>
  </si>
  <si>
    <t>Údržba pamiatkových objektov</t>
  </si>
  <si>
    <t>Propagácia mesta - informačná agentúra</t>
  </si>
  <si>
    <t>Ostrovček - Bažant</t>
  </si>
  <si>
    <t>Rekonštrukcia mosta na Mýte</t>
  </si>
  <si>
    <t>Porealizačné zamerania</t>
  </si>
  <si>
    <t>Priekopa - rekonštrukcia  komunikácie a odvodnenie</t>
  </si>
  <si>
    <t xml:space="preserve">Cintorínska - odvodnenie ulice </t>
  </si>
  <si>
    <t>Napojenie I.Stodolu na Obr.mieru - úprava, odvodnenie</t>
  </si>
  <si>
    <t>Poľná ulica - povrchová úprava</t>
  </si>
  <si>
    <t>Pri zastávke - úprava cesty</t>
  </si>
  <si>
    <t>Biela voda - predĺženie ulice</t>
  </si>
  <si>
    <t>23 b.j. Košická - dotácia MVaRR</t>
  </si>
  <si>
    <t>Príjmy za predaj pozemkov - IBV Kamenná baňa</t>
  </si>
  <si>
    <t>PD - bytový dom Košická 2006</t>
  </si>
  <si>
    <t>Bytový dom Košická 2006 /ŠFRB + vlastné zdroje/</t>
  </si>
  <si>
    <t>Bytový dom Košická 2006 - úver ŠFRB</t>
  </si>
  <si>
    <t>IBV Kamenná baňa</t>
  </si>
  <si>
    <t>Nový cintorín - predĺženie chodníkov</t>
  </si>
  <si>
    <r>
      <t>Investície - správa MsÚ</t>
    </r>
    <r>
      <rPr>
        <sz val="8"/>
        <rFont val="Arial CE"/>
        <family val="2"/>
      </rPr>
      <t xml:space="preserve">  - nákup kopírky 100,bezbar.prístup 150</t>
    </r>
    <r>
      <rPr>
        <sz val="10"/>
        <rFont val="Arial CE"/>
        <family val="2"/>
      </rPr>
      <t xml:space="preserve"> </t>
    </r>
  </si>
  <si>
    <t>Splátky leasingu - vozidlo MsÚ</t>
  </si>
  <si>
    <t>podklad - LM ?</t>
  </si>
  <si>
    <t>Splátky za predané byty</t>
  </si>
  <si>
    <t>Polohopisné a výškopisné zamerania</t>
  </si>
  <si>
    <t>Projektová príprava kompostáreň</t>
  </si>
  <si>
    <t>MŠ + ŠJ Kuzmányho - vecné výdavky</t>
  </si>
  <si>
    <t>MŠ + ŠJ Cintorínska - vecné výdavky</t>
  </si>
  <si>
    <t>MŠ + ŠJ Severná - vecné výdavky</t>
  </si>
  <si>
    <t>MŠ + ŠJ Možiarska - vecné výdavky</t>
  </si>
  <si>
    <t>ZŠ Hradné námestie - nenormatívne dotácie</t>
  </si>
  <si>
    <t>ZŠ ul. Dr. D. Fischera -  nenormatívne dotácie</t>
  </si>
  <si>
    <t>ZŠ Nižná Brána -  nenormatívne dotácie</t>
  </si>
  <si>
    <t>MŠ + ŠJ Kuzmányho - osobné výdavky</t>
  </si>
  <si>
    <t>MŠ + ŠJ Kuzmányho - nenormatívne dotácie</t>
  </si>
  <si>
    <t>MŠ + ŠJ Cintorínska - nenormatívne dotácie</t>
  </si>
  <si>
    <t>MŠ + ŠJ Cintorínska - osobné výdavky</t>
  </si>
  <si>
    <t>MŠ + ŠJ Kušnierska - osobné výdavky</t>
  </si>
  <si>
    <t>MŠ + ŠJ Kušnierska - vecné výdavky</t>
  </si>
  <si>
    <t>MŠ + ŠJ Kušnierska - nenormatívne dotácie</t>
  </si>
  <si>
    <t>MŠ + ŠJ Možiarska - osobné výdavky</t>
  </si>
  <si>
    <t>MŠ + ŠJ Možiarska - nenormatívne dotácie</t>
  </si>
  <si>
    <t>MŠ + ŠJ Severná - osobné výdavky</t>
  </si>
  <si>
    <t>MŠ + ŠJ Severná - nenormatívne dotácie</t>
  </si>
  <si>
    <t>Centrum voľného času - nenormatívne dotácie</t>
  </si>
  <si>
    <t>21</t>
  </si>
  <si>
    <t>Právne služby</t>
  </si>
  <si>
    <t>MsP - predaj terénneho vozidla Mitsubischi</t>
  </si>
  <si>
    <t>Požiadavka</t>
  </si>
  <si>
    <t>Mestská školská rada</t>
  </si>
  <si>
    <t>z toho 19 000 PAM,  1 000 odpad</t>
  </si>
  <si>
    <t>Rezerva - školstvo - originálne kompetencie</t>
  </si>
  <si>
    <t>MŠ + ŠJ  Kuzmányho</t>
  </si>
  <si>
    <t>MŠ + ŠJ Cintorínska</t>
  </si>
  <si>
    <t>MŠ + ŠJ Kušnierska</t>
  </si>
  <si>
    <t>MŠ + ŠJ Možiarska</t>
  </si>
  <si>
    <t>MŠ + ŠJ Severná</t>
  </si>
  <si>
    <t>Busta prof. Grossa - spolufinancovanie</t>
  </si>
  <si>
    <t>Dotácie poskytnuté podľa VZN - MsZ - hospodárstvo, obchod, služby</t>
  </si>
  <si>
    <t>Dotácie poskytnuté podľa VZN - MsZ - cestovný ruch</t>
  </si>
  <si>
    <t>Dotácie poskytnuté podľa VZN - MsZ - technická infraštruktúra</t>
  </si>
  <si>
    <t>C</t>
  </si>
  <si>
    <t>Spolufin. - Inštitút manažmentu kežmarského reg. - aj B-2, D-3</t>
  </si>
  <si>
    <t>E-7</t>
  </si>
  <si>
    <t>D-4</t>
  </si>
  <si>
    <t>C-2</t>
  </si>
  <si>
    <t>Územný plán CMZ</t>
  </si>
  <si>
    <t>Prehodnotenie a doplnenie územného plánu mesta</t>
  </si>
  <si>
    <t>Sociálne zariadenie Amfiteáter</t>
  </si>
  <si>
    <t>Michalská ulica - ukončenie chodníkov a VO - II. etapa</t>
  </si>
  <si>
    <t>Investície, ktoré nevieme finančne kryť - usporiadané podľa dôležitosti:</t>
  </si>
  <si>
    <t>Úprava cesty ul. Gen. Štefánika ku garážam</t>
  </si>
  <si>
    <t>O:</t>
  </si>
  <si>
    <t>oblasť</t>
  </si>
  <si>
    <t>C:</t>
  </si>
  <si>
    <t>cieľ</t>
  </si>
  <si>
    <r>
      <t>Správa mesta - ľudské zdroje</t>
    </r>
    <r>
      <rPr>
        <i/>
        <sz val="8"/>
        <rFont val="Arial CE"/>
        <family val="2"/>
      </rPr>
      <t xml:space="preserve"> (2005 po úprave)</t>
    </r>
  </si>
  <si>
    <t>Zo štátneho rozpočtu - Doprava (prenesený výkon št. správy)</t>
  </si>
  <si>
    <t>MsKs - Literárny Kežmarok</t>
  </si>
  <si>
    <t>Úprava cesty medzi garážami Sever (z 2005)</t>
  </si>
  <si>
    <t>IBV Kamenná baňa - rekonštrukcia komunikácie (z 2005)</t>
  </si>
  <si>
    <t>Gaštanova - predĺženie komunikácie (z 2005)</t>
  </si>
  <si>
    <t>Michalská ulica - ukončenie chodníkov I. etapa dokončenie</t>
  </si>
  <si>
    <t>Ľubická cesta - dokončenie chodníka</t>
  </si>
  <si>
    <t>Spolufin. - oplotenie mládežníckeho štadióna</t>
  </si>
  <si>
    <t>CN 840 000</t>
  </si>
  <si>
    <t>Spolufin. - hokejbalové ihrisko</t>
  </si>
  <si>
    <t>CN 2 715 000</t>
  </si>
  <si>
    <t>Projektové dokumentácie iné</t>
  </si>
  <si>
    <t>Úprava plochy pred FŠ</t>
  </si>
  <si>
    <t>nerozdelené</t>
  </si>
  <si>
    <t>Prevod z fondu spoluúčasti na projektoch</t>
  </si>
  <si>
    <t>Prevod z fondu investičnej výstavby</t>
  </si>
  <si>
    <t>Úroky - Investičný úver - štartovacie byty + osvetlenie</t>
  </si>
  <si>
    <t>83</t>
  </si>
  <si>
    <t>Drobná údržba - Odd. územn. plánu, ŽP a stav. konania</t>
  </si>
  <si>
    <t>Drobná údržba - Odd. právne a správy majetku</t>
  </si>
  <si>
    <t>Dotácie poskytnuté podľa VZN - MsZ - stredné školy</t>
  </si>
  <si>
    <t>Urbanistická štúdia JUH</t>
  </si>
  <si>
    <t>MsP - nákup PCO</t>
  </si>
  <si>
    <t>Spolufin. - rekonštrukcia nemocnice - v roku 2007</t>
  </si>
  <si>
    <t>CN 9 775 000</t>
  </si>
  <si>
    <t>Splátky leasingu - vozidlo MsP - Škoda Fabia</t>
  </si>
  <si>
    <t>Prevod z majetkového fondu</t>
  </si>
  <si>
    <t>Prevod z lesného fondu</t>
  </si>
  <si>
    <t>Nákup pozemkov - priemyselný park</t>
  </si>
  <si>
    <t>Verejné osvetlenie - rekonštrukcia (dokončenie z 2005)</t>
  </si>
  <si>
    <r>
      <t>Bežné výdaje</t>
    </r>
    <r>
      <rPr>
        <sz val="10"/>
        <rFont val="Arial CE"/>
        <family val="2"/>
      </rPr>
      <t xml:space="preserve"> - prehľad podľa akcií</t>
    </r>
  </si>
  <si>
    <t>rozdiel prenes. komp. - rezerva</t>
  </si>
  <si>
    <t>ZŠ - rezerva pre osobné výdavky</t>
  </si>
  <si>
    <t>ZŠ - rezerva pre vecné výdavky</t>
  </si>
  <si>
    <t>bez účel. dotácií, rozdelené prostriedky</t>
  </si>
  <si>
    <t>účel. dotácie PK</t>
  </si>
  <si>
    <t>účel. dotácie OK</t>
  </si>
  <si>
    <t>účel. dotácie spolu</t>
  </si>
  <si>
    <t>netto bez nenormatívnych výdavkov</t>
  </si>
  <si>
    <t>Projektová dokumentácia priem. park vrátane EIA</t>
  </si>
  <si>
    <t>23 b.j. Košická - dočerpanie úveru ŠFRB</t>
  </si>
  <si>
    <t>Splátky úveru ŠFRB - bytový dom JUH - Košická 2006</t>
  </si>
  <si>
    <r>
      <t>23 b.j. Košická - dostavba</t>
    </r>
    <r>
      <rPr>
        <sz val="8"/>
        <rFont val="Arial CE"/>
        <family val="2"/>
      </rPr>
      <t xml:space="preserve"> (dotácia, úver ŠFRB, vlastné zdroje)</t>
    </r>
  </si>
  <si>
    <t>Úver - osvetlenie - dočerpanie</t>
  </si>
  <si>
    <t>Priebežné čerpanie kontokorentného úveru</t>
  </si>
  <si>
    <t>Priebežné splácanie kontokorentného úveru</t>
  </si>
  <si>
    <t>Príjem z predaja finančného majetku</t>
  </si>
  <si>
    <t>Nákup finančného majetku</t>
  </si>
  <si>
    <t>Pre školstvo spolu:</t>
  </si>
  <si>
    <t>Provod zo školského fondu</t>
  </si>
  <si>
    <t>ŠJ Hradné námestie - osobné výdavky</t>
  </si>
  <si>
    <t>ŠJ Hradné námestie - vecné výdavky</t>
  </si>
  <si>
    <t xml:space="preserve">Splátky leasingu - terénne vozidlo MsP </t>
  </si>
  <si>
    <t>2006 schv.</t>
  </si>
  <si>
    <t>Zo štátneho rozpočtu - bezdomovci</t>
  </si>
  <si>
    <t>Vyčistenie koryta rieky Poprad - spolufin.</t>
  </si>
  <si>
    <t>Úprava chodníkov a zelene na sídliskách</t>
  </si>
  <si>
    <t>Dni športu mesta</t>
  </si>
  <si>
    <t>Bezdomovci</t>
  </si>
  <si>
    <t>NEMOCNICA S POLIKLINIKOU, prísp. org.</t>
  </si>
  <si>
    <t>15</t>
  </si>
  <si>
    <t>Hospic Ľubica</t>
  </si>
  <si>
    <t>Spracoval: Ing. Miroslav Karpiš</t>
  </si>
  <si>
    <t>Kežmarok, 27.1. 2006</t>
  </si>
  <si>
    <t>Znižovanie znečisťovania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</si>
</sst>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0.0%"/>
  </numFmts>
  <fonts count="21">
    <font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8"/>
      <name val="Arial CE"/>
      <family val="2"/>
    </font>
    <font>
      <u val="single"/>
      <sz val="10"/>
      <name val="Arial CE"/>
      <family val="2"/>
    </font>
    <font>
      <b/>
      <u val="single"/>
      <sz val="8"/>
      <name val="Arial CE"/>
      <family val="2"/>
    </font>
    <font>
      <b/>
      <u val="single"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0"/>
      <name val="Arial CE"/>
      <family val="2"/>
    </font>
    <font>
      <i/>
      <sz val="7"/>
      <name val="Arial CE"/>
      <family val="2"/>
    </font>
    <font>
      <sz val="7"/>
      <name val="Arial CE"/>
      <family val="2"/>
    </font>
    <font>
      <b/>
      <i/>
      <sz val="10"/>
      <name val="Arial CE"/>
      <family val="2"/>
    </font>
    <font>
      <i/>
      <sz val="10"/>
      <color indexed="9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9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10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9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1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20" applyAlignment="1">
      <alignment/>
    </xf>
    <xf numFmtId="3" fontId="0" fillId="0" borderId="0" xfId="0" applyNumberFormat="1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1" xfId="0" applyNumberFormat="1" applyFill="1" applyBorder="1" applyAlignment="1">
      <alignment/>
    </xf>
    <xf numFmtId="0" fontId="1" fillId="0" borderId="7" xfId="0" applyFont="1" applyBorder="1" applyAlignment="1">
      <alignment/>
    </xf>
    <xf numFmtId="3" fontId="0" fillId="0" borderId="7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5" fontId="0" fillId="0" borderId="0" xfId="20" applyNumberFormat="1" applyAlignment="1">
      <alignment/>
    </xf>
    <xf numFmtId="49" fontId="1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9" fontId="0" fillId="0" borderId="0" xfId="20" applyFont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0" fontId="14" fillId="0" borderId="1" xfId="0" applyFont="1" applyBorder="1" applyAlignment="1">
      <alignment/>
    </xf>
    <xf numFmtId="3" fontId="14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16" fillId="1" borderId="9" xfId="0" applyFont="1" applyFill="1" applyBorder="1" applyAlignment="1">
      <alignment horizontal="center"/>
    </xf>
    <xf numFmtId="0" fontId="16" fillId="1" borderId="10" xfId="0" applyFont="1" applyFill="1" applyBorder="1" applyAlignment="1">
      <alignment horizontal="center"/>
    </xf>
    <xf numFmtId="0" fontId="16" fillId="1" borderId="11" xfId="0" applyFont="1" applyFill="1" applyBorder="1" applyAlignment="1">
      <alignment horizontal="center"/>
    </xf>
    <xf numFmtId="0" fontId="16" fillId="1" borderId="12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6" fillId="1" borderId="13" xfId="0" applyFont="1" applyFill="1" applyBorder="1" applyAlignment="1">
      <alignment horizontal="center"/>
    </xf>
    <xf numFmtId="0" fontId="16" fillId="1" borderId="14" xfId="0" applyFont="1" applyFill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0" fontId="0" fillId="0" borderId="0" xfId="20" applyNumberFormat="1" applyAlignment="1">
      <alignment/>
    </xf>
    <xf numFmtId="3" fontId="9" fillId="0" borderId="1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18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h&#318;ad%20rozpo&#269;tu%202006%200511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jmy"/>
      <sheetName val="Výdaje podľa akcií"/>
      <sheetName val="Kapitálové"/>
      <sheetName val="Finančné"/>
      <sheetName val="Sumár"/>
      <sheetName val="Tab_pre_prepoc"/>
      <sheetName val="Návrh na rozpočet 9ku2"/>
    </sheetNames>
    <sheetDataSet>
      <sheetData sheetId="1">
        <row r="39">
          <cell r="H39">
            <v>240000</v>
          </cell>
        </row>
        <row r="41">
          <cell r="H41">
            <v>560000</v>
          </cell>
        </row>
        <row r="42">
          <cell r="H42">
            <v>179000</v>
          </cell>
        </row>
        <row r="43">
          <cell r="H43">
            <v>113000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workbookViewId="0" topLeftCell="A78">
      <selection activeCell="H84" sqref="H84:H106"/>
    </sheetView>
  </sheetViews>
  <sheetFormatPr defaultColWidth="9.00390625" defaultRowHeight="12.75"/>
  <cols>
    <col min="1" max="1" width="6.75390625" style="2" bestFit="1" customWidth="1"/>
    <col min="2" max="2" width="37.875" style="2" customWidth="1"/>
    <col min="3" max="3" width="11.125" style="0" bestFit="1" customWidth="1"/>
    <col min="4" max="4" width="12.00390625" style="0" hidden="1" customWidth="1"/>
    <col min="5" max="5" width="11.125" style="0" hidden="1" customWidth="1"/>
    <col min="6" max="6" width="10.75390625" style="1" hidden="1" customWidth="1"/>
    <col min="7" max="7" width="10.25390625" style="1" hidden="1" customWidth="1"/>
    <col min="8" max="8" width="12.00390625" style="0" customWidth="1"/>
    <col min="9" max="9" width="9.125" style="92" customWidth="1"/>
  </cols>
  <sheetData>
    <row r="1" ht="18">
      <c r="B1" s="3" t="s">
        <v>221</v>
      </c>
    </row>
    <row r="3" spans="1:2" ht="12.75">
      <c r="A3" s="7"/>
      <c r="B3" s="7" t="s">
        <v>220</v>
      </c>
    </row>
    <row r="4" spans="1:5" ht="12.75">
      <c r="A4" s="37"/>
      <c r="B4" s="37" t="s">
        <v>164</v>
      </c>
      <c r="C4" s="49">
        <v>0.025</v>
      </c>
      <c r="D4" s="38"/>
      <c r="E4" s="38"/>
    </row>
    <row r="5" spans="1:5" ht="12.75">
      <c r="A5" s="37"/>
      <c r="B5" s="37" t="s">
        <v>165</v>
      </c>
      <c r="C5" s="49">
        <v>0.039</v>
      </c>
      <c r="D5" s="38"/>
      <c r="E5" s="38"/>
    </row>
    <row r="6" spans="1:8" ht="12.75">
      <c r="A6" s="13" t="s">
        <v>0</v>
      </c>
      <c r="B6" s="13" t="s">
        <v>18</v>
      </c>
      <c r="C6" s="59" t="s">
        <v>162</v>
      </c>
      <c r="D6" s="60" t="s">
        <v>257</v>
      </c>
      <c r="E6" s="59" t="s">
        <v>199</v>
      </c>
      <c r="F6" s="5" t="s">
        <v>163</v>
      </c>
      <c r="G6" s="5"/>
      <c r="H6" s="60" t="s">
        <v>519</v>
      </c>
    </row>
    <row r="7" spans="1:10" ht="12.75">
      <c r="A7" s="15">
        <v>100</v>
      </c>
      <c r="B7" s="15" t="s">
        <v>316</v>
      </c>
      <c r="C7" s="16">
        <f aca="true" t="shared" si="0" ref="C7:H7">C8+C11+C16</f>
        <v>97953000</v>
      </c>
      <c r="D7" s="16">
        <f t="shared" si="0"/>
        <v>109363000</v>
      </c>
      <c r="E7" s="16">
        <f t="shared" si="0"/>
        <v>121281000</v>
      </c>
      <c r="F7" s="16" t="e">
        <f t="shared" si="0"/>
        <v>#VALUE!</v>
      </c>
      <c r="G7" s="16">
        <f t="shared" si="0"/>
        <v>17812000</v>
      </c>
      <c r="H7" s="16">
        <f t="shared" si="0"/>
        <v>112300000</v>
      </c>
      <c r="J7" s="100"/>
    </row>
    <row r="8" spans="1:10" ht="12.75">
      <c r="A8" s="17">
        <v>110</v>
      </c>
      <c r="B8" s="17" t="s">
        <v>317</v>
      </c>
      <c r="C8" s="18">
        <f>C9</f>
        <v>73149000</v>
      </c>
      <c r="D8" s="18">
        <f aca="true" t="shared" si="1" ref="D8:H9">D9</f>
        <v>84514000</v>
      </c>
      <c r="E8" s="18">
        <f t="shared" si="1"/>
        <v>96432000</v>
      </c>
      <c r="F8" s="18" t="str">
        <f t="shared" si="1"/>
        <v>i+r; +"JUH"</v>
      </c>
      <c r="G8" s="18">
        <f t="shared" si="1"/>
        <v>4682000</v>
      </c>
      <c r="H8" s="18">
        <f t="shared" si="1"/>
        <v>86378000</v>
      </c>
      <c r="J8" s="100"/>
    </row>
    <row r="9" spans="1:10" ht="12.75">
      <c r="A9" s="13">
        <v>111</v>
      </c>
      <c r="B9" s="13" t="s">
        <v>318</v>
      </c>
      <c r="C9" s="19">
        <f>C10</f>
        <v>73149000</v>
      </c>
      <c r="D9" s="19">
        <f t="shared" si="1"/>
        <v>84514000</v>
      </c>
      <c r="E9" s="19">
        <f t="shared" si="1"/>
        <v>96432000</v>
      </c>
      <c r="F9" s="19" t="str">
        <f t="shared" si="1"/>
        <v>i+r; +"JUH"</v>
      </c>
      <c r="G9" s="19">
        <f t="shared" si="1"/>
        <v>4682000</v>
      </c>
      <c r="H9" s="19">
        <f t="shared" si="1"/>
        <v>86378000</v>
      </c>
      <c r="J9" s="100"/>
    </row>
    <row r="10" spans="1:10" ht="12.75">
      <c r="A10" s="20">
        <v>111003</v>
      </c>
      <c r="B10" s="20" t="s">
        <v>315</v>
      </c>
      <c r="C10" s="21">
        <v>73149000</v>
      </c>
      <c r="D10" s="21">
        <v>84514000</v>
      </c>
      <c r="E10" s="21">
        <v>96432000</v>
      </c>
      <c r="F10" s="8" t="s">
        <v>167</v>
      </c>
      <c r="G10" s="8">
        <f>ROUND(C10*(C$4+C$5),-3)</f>
        <v>4682000</v>
      </c>
      <c r="H10" s="21">
        <v>86378000</v>
      </c>
      <c r="J10" s="100"/>
    </row>
    <row r="11" spans="1:10" ht="12.75">
      <c r="A11" s="17">
        <v>120</v>
      </c>
      <c r="B11" s="17" t="s">
        <v>319</v>
      </c>
      <c r="C11" s="18">
        <f aca="true" t="shared" si="2" ref="C11:H11">C12</f>
        <v>13130000</v>
      </c>
      <c r="D11" s="18">
        <f t="shared" si="2"/>
        <v>13130000</v>
      </c>
      <c r="E11" s="18">
        <f t="shared" si="2"/>
        <v>13130000</v>
      </c>
      <c r="F11" s="18">
        <f t="shared" si="2"/>
        <v>13130000</v>
      </c>
      <c r="G11" s="18">
        <f t="shared" si="2"/>
        <v>13130000</v>
      </c>
      <c r="H11" s="18">
        <f t="shared" si="2"/>
        <v>13450000</v>
      </c>
      <c r="J11" s="100"/>
    </row>
    <row r="12" spans="1:10" ht="12.75">
      <c r="A12" s="13">
        <v>121</v>
      </c>
      <c r="B12" s="13" t="s">
        <v>1</v>
      </c>
      <c r="C12" s="19">
        <f aca="true" t="shared" si="3" ref="C12:H12">SUM(C13:C15)</f>
        <v>13130000</v>
      </c>
      <c r="D12" s="19">
        <f t="shared" si="3"/>
        <v>13130000</v>
      </c>
      <c r="E12" s="19">
        <f t="shared" si="3"/>
        <v>13130000</v>
      </c>
      <c r="F12" s="19">
        <f t="shared" si="3"/>
        <v>13130000</v>
      </c>
      <c r="G12" s="19">
        <f t="shared" si="3"/>
        <v>13130000</v>
      </c>
      <c r="H12" s="19">
        <f t="shared" si="3"/>
        <v>13450000</v>
      </c>
      <c r="J12" s="100"/>
    </row>
    <row r="13" spans="1:10" ht="12.75">
      <c r="A13" s="20">
        <v>121001</v>
      </c>
      <c r="B13" s="20" t="s">
        <v>320</v>
      </c>
      <c r="C13" s="21">
        <v>910000</v>
      </c>
      <c r="D13" s="21">
        <v>910000</v>
      </c>
      <c r="E13" s="21">
        <v>910000</v>
      </c>
      <c r="F13" s="21">
        <v>910000</v>
      </c>
      <c r="G13" s="21">
        <v>910000</v>
      </c>
      <c r="H13" s="21">
        <v>1070000</v>
      </c>
      <c r="J13" s="100"/>
    </row>
    <row r="14" spans="1:10" ht="12.75">
      <c r="A14" s="20">
        <v>121002</v>
      </c>
      <c r="B14" s="20" t="s">
        <v>321</v>
      </c>
      <c r="C14" s="21">
        <v>11850000</v>
      </c>
      <c r="D14" s="21">
        <v>11850000</v>
      </c>
      <c r="E14" s="21">
        <v>11850000</v>
      </c>
      <c r="F14" s="21">
        <v>11850000</v>
      </c>
      <c r="G14" s="21">
        <v>11850000</v>
      </c>
      <c r="H14" s="21">
        <v>11940000</v>
      </c>
      <c r="J14" s="100"/>
    </row>
    <row r="15" spans="1:10" ht="12.75">
      <c r="A15" s="20">
        <v>121003</v>
      </c>
      <c r="B15" s="20" t="s">
        <v>322</v>
      </c>
      <c r="C15" s="21">
        <v>370000</v>
      </c>
      <c r="D15" s="21">
        <v>370000</v>
      </c>
      <c r="E15" s="21">
        <v>370000</v>
      </c>
      <c r="F15" s="21">
        <v>370000</v>
      </c>
      <c r="G15" s="21">
        <v>370000</v>
      </c>
      <c r="H15" s="21">
        <v>440000</v>
      </c>
      <c r="J15" s="100"/>
    </row>
    <row r="16" spans="1:10" ht="12.75">
      <c r="A16" s="17">
        <v>130</v>
      </c>
      <c r="B16" s="17" t="s">
        <v>323</v>
      </c>
      <c r="C16" s="18">
        <f aca="true" t="shared" si="4" ref="C16:H16">C17</f>
        <v>11674000</v>
      </c>
      <c r="D16" s="18">
        <f t="shared" si="4"/>
        <v>11719000</v>
      </c>
      <c r="E16" s="18">
        <f t="shared" si="4"/>
        <v>11719000</v>
      </c>
      <c r="F16" s="18">
        <f t="shared" si="4"/>
        <v>0</v>
      </c>
      <c r="G16" s="18">
        <f t="shared" si="4"/>
        <v>0</v>
      </c>
      <c r="H16" s="18">
        <f t="shared" si="4"/>
        <v>12472000</v>
      </c>
      <c r="J16" s="100"/>
    </row>
    <row r="17" spans="1:10" ht="12.75">
      <c r="A17" s="13">
        <v>133</v>
      </c>
      <c r="B17" s="13" t="s">
        <v>324</v>
      </c>
      <c r="C17" s="19">
        <f aca="true" t="shared" si="5" ref="C17:H17">SUM(C18:C25)</f>
        <v>11674000</v>
      </c>
      <c r="D17" s="19">
        <f t="shared" si="5"/>
        <v>11719000</v>
      </c>
      <c r="E17" s="19">
        <f t="shared" si="5"/>
        <v>11719000</v>
      </c>
      <c r="F17" s="19">
        <f t="shared" si="5"/>
        <v>0</v>
      </c>
      <c r="G17" s="19">
        <f t="shared" si="5"/>
        <v>0</v>
      </c>
      <c r="H17" s="19">
        <f t="shared" si="5"/>
        <v>12472000</v>
      </c>
      <c r="J17" s="100"/>
    </row>
    <row r="18" spans="1:10" ht="12.75">
      <c r="A18" s="20">
        <v>133001</v>
      </c>
      <c r="B18" s="20" t="s">
        <v>2</v>
      </c>
      <c r="C18" s="21">
        <v>180000</v>
      </c>
      <c r="D18" s="21">
        <v>225000</v>
      </c>
      <c r="E18" s="19">
        <f aca="true" t="shared" si="6" ref="E18:E25">D18</f>
        <v>225000</v>
      </c>
      <c r="F18" s="1" t="s">
        <v>166</v>
      </c>
      <c r="G18" s="1">
        <v>0</v>
      </c>
      <c r="H18" s="21">
        <v>190000</v>
      </c>
      <c r="J18" s="100"/>
    </row>
    <row r="19" spans="1:10" ht="12.75">
      <c r="A19" s="20">
        <v>133003</v>
      </c>
      <c r="B19" s="20" t="s">
        <v>3</v>
      </c>
      <c r="C19" s="21">
        <v>50000</v>
      </c>
      <c r="D19" s="21">
        <v>50000</v>
      </c>
      <c r="E19" s="19">
        <f t="shared" si="6"/>
        <v>50000</v>
      </c>
      <c r="F19" s="1" t="s">
        <v>166</v>
      </c>
      <c r="G19" s="1">
        <v>0</v>
      </c>
      <c r="H19" s="21">
        <v>5000</v>
      </c>
      <c r="J19" s="100"/>
    </row>
    <row r="20" spans="1:10" ht="12.75">
      <c r="A20" s="20">
        <v>133004</v>
      </c>
      <c r="B20" s="20" t="s">
        <v>4</v>
      </c>
      <c r="C20" s="21">
        <v>10000</v>
      </c>
      <c r="D20" s="21">
        <v>10000</v>
      </c>
      <c r="E20" s="19">
        <f t="shared" si="6"/>
        <v>10000</v>
      </c>
      <c r="F20" s="1" t="s">
        <v>166</v>
      </c>
      <c r="G20" s="1">
        <v>0</v>
      </c>
      <c r="H20" s="21">
        <v>5000</v>
      </c>
      <c r="J20" s="100"/>
    </row>
    <row r="21" spans="1:10" ht="12.75">
      <c r="A21" s="20">
        <v>133006</v>
      </c>
      <c r="B21" s="20" t="s">
        <v>5</v>
      </c>
      <c r="C21" s="21">
        <v>150000</v>
      </c>
      <c r="D21" s="21">
        <v>150000</v>
      </c>
      <c r="E21" s="19">
        <f t="shared" si="6"/>
        <v>150000</v>
      </c>
      <c r="F21" s="1" t="s">
        <v>166</v>
      </c>
      <c r="G21" s="1">
        <v>0</v>
      </c>
      <c r="H21" s="21">
        <v>150000</v>
      </c>
      <c r="J21" s="100"/>
    </row>
    <row r="22" spans="1:10" ht="12.75">
      <c r="A22" s="20">
        <v>133012</v>
      </c>
      <c r="B22" s="20" t="s">
        <v>6</v>
      </c>
      <c r="C22" s="21">
        <f>SUM(C23:C24)</f>
        <v>480000</v>
      </c>
      <c r="D22" s="21">
        <f>SUM(D23:D24)</f>
        <v>480000</v>
      </c>
      <c r="E22" s="19">
        <f t="shared" si="6"/>
        <v>480000</v>
      </c>
      <c r="F22" s="1" t="s">
        <v>166</v>
      </c>
      <c r="G22" s="1">
        <v>0</v>
      </c>
      <c r="H22" s="21">
        <f>SUM(H23:H24)</f>
        <v>425000</v>
      </c>
      <c r="I22" s="91"/>
      <c r="J22" s="100"/>
    </row>
    <row r="23" spans="1:10" ht="12.75">
      <c r="A23" s="62">
        <v>133012</v>
      </c>
      <c r="B23" s="62" t="s">
        <v>342</v>
      </c>
      <c r="C23" s="63">
        <v>380000</v>
      </c>
      <c r="D23" s="63">
        <v>380000</v>
      </c>
      <c r="E23" s="64">
        <f t="shared" si="6"/>
        <v>380000</v>
      </c>
      <c r="F23" s="65" t="s">
        <v>166</v>
      </c>
      <c r="G23" s="65">
        <v>0</v>
      </c>
      <c r="H23" s="63">
        <v>325000</v>
      </c>
      <c r="I23" s="91"/>
      <c r="J23" s="100"/>
    </row>
    <row r="24" spans="1:10" ht="12.75">
      <c r="A24" s="62">
        <v>133012</v>
      </c>
      <c r="B24" s="62" t="s">
        <v>343</v>
      </c>
      <c r="C24" s="63">
        <v>100000</v>
      </c>
      <c r="D24" s="63">
        <v>100000</v>
      </c>
      <c r="E24" s="64">
        <f t="shared" si="6"/>
        <v>100000</v>
      </c>
      <c r="F24" s="65" t="s">
        <v>166</v>
      </c>
      <c r="G24" s="65">
        <v>0</v>
      </c>
      <c r="H24" s="63">
        <v>100000</v>
      </c>
      <c r="I24" s="91" t="s">
        <v>256</v>
      </c>
      <c r="J24" s="100"/>
    </row>
    <row r="25" spans="1:10" ht="12.75">
      <c r="A25" s="20">
        <v>133013</v>
      </c>
      <c r="B25" s="20" t="s">
        <v>7</v>
      </c>
      <c r="C25" s="21">
        <v>10324000</v>
      </c>
      <c r="D25" s="21">
        <v>10324000</v>
      </c>
      <c r="E25" s="19">
        <f t="shared" si="6"/>
        <v>10324000</v>
      </c>
      <c r="F25" s="1" t="s">
        <v>166</v>
      </c>
      <c r="G25" s="1">
        <v>0</v>
      </c>
      <c r="H25" s="21">
        <f>11122000+150000</f>
        <v>11272000</v>
      </c>
      <c r="J25" s="100"/>
    </row>
    <row r="26" spans="1:10" ht="12.75">
      <c r="A26" s="15">
        <v>200</v>
      </c>
      <c r="B26" s="15" t="s">
        <v>325</v>
      </c>
      <c r="C26" s="16">
        <f aca="true" t="shared" si="7" ref="C26:H26">C27+C35+C55+C58</f>
        <v>12703000</v>
      </c>
      <c r="D26" s="16">
        <f t="shared" si="7"/>
        <v>6734000</v>
      </c>
      <c r="E26" s="16">
        <f t="shared" si="7"/>
        <v>4706000</v>
      </c>
      <c r="F26" s="16" t="e">
        <f t="shared" si="7"/>
        <v>#VALUE!</v>
      </c>
      <c r="G26" s="16">
        <f t="shared" si="7"/>
        <v>-5471000</v>
      </c>
      <c r="H26" s="16">
        <f t="shared" si="7"/>
        <v>44280000</v>
      </c>
      <c r="J26" s="100"/>
    </row>
    <row r="27" spans="1:10" ht="12.75">
      <c r="A27" s="17">
        <v>210</v>
      </c>
      <c r="B27" s="17" t="s">
        <v>326</v>
      </c>
      <c r="C27" s="18">
        <f aca="true" t="shared" si="8" ref="C27:H27">C28+C30</f>
        <v>6734000</v>
      </c>
      <c r="D27" s="18">
        <f t="shared" si="8"/>
        <v>934000</v>
      </c>
      <c r="E27" s="18">
        <f t="shared" si="8"/>
        <v>934000</v>
      </c>
      <c r="F27" s="18" t="e">
        <f t="shared" si="8"/>
        <v>#VALUE!</v>
      </c>
      <c r="G27" s="18">
        <f t="shared" si="8"/>
        <v>-5800000</v>
      </c>
      <c r="H27" s="18">
        <f t="shared" si="8"/>
        <v>37015000</v>
      </c>
      <c r="J27" s="100"/>
    </row>
    <row r="28" spans="1:10" ht="12.75">
      <c r="A28" s="13">
        <v>211</v>
      </c>
      <c r="B28" s="13" t="s">
        <v>327</v>
      </c>
      <c r="C28" s="19">
        <f aca="true" t="shared" si="9" ref="C28:H28">C29</f>
        <v>50000</v>
      </c>
      <c r="D28" s="19">
        <f t="shared" si="9"/>
        <v>50000</v>
      </c>
      <c r="E28" s="19">
        <f t="shared" si="9"/>
        <v>50000</v>
      </c>
      <c r="F28" s="19" t="str">
        <f t="shared" si="9"/>
        <v>bez zmeny</v>
      </c>
      <c r="G28" s="19">
        <f t="shared" si="9"/>
        <v>0</v>
      </c>
      <c r="H28" s="19">
        <f t="shared" si="9"/>
        <v>200000</v>
      </c>
      <c r="J28" s="100"/>
    </row>
    <row r="29" spans="1:10" ht="12.75">
      <c r="A29" s="20">
        <v>211003</v>
      </c>
      <c r="B29" s="20" t="s">
        <v>8</v>
      </c>
      <c r="C29" s="21">
        <v>50000</v>
      </c>
      <c r="D29" s="21">
        <v>50000</v>
      </c>
      <c r="E29" s="19">
        <f>D29</f>
        <v>50000</v>
      </c>
      <c r="F29" s="1" t="s">
        <v>166</v>
      </c>
      <c r="G29" s="1">
        <v>0</v>
      </c>
      <c r="H29" s="21">
        <v>200000</v>
      </c>
      <c r="J29" s="100"/>
    </row>
    <row r="30" spans="1:10" ht="12.75">
      <c r="A30" s="13">
        <v>212</v>
      </c>
      <c r="B30" s="13" t="s">
        <v>328</v>
      </c>
      <c r="C30" s="19">
        <f aca="true" t="shared" si="10" ref="C30:H30">C31+C32</f>
        <v>6684000</v>
      </c>
      <c r="D30" s="19">
        <f t="shared" si="10"/>
        <v>884000</v>
      </c>
      <c r="E30" s="19">
        <f t="shared" si="10"/>
        <v>884000</v>
      </c>
      <c r="F30" s="19" t="e">
        <f t="shared" si="10"/>
        <v>#VALUE!</v>
      </c>
      <c r="G30" s="19">
        <f t="shared" si="10"/>
        <v>-5800000</v>
      </c>
      <c r="H30" s="19">
        <f t="shared" si="10"/>
        <v>36815000</v>
      </c>
      <c r="J30" s="100"/>
    </row>
    <row r="31" spans="1:10" ht="12.75">
      <c r="A31" s="20">
        <v>212002</v>
      </c>
      <c r="B31" s="20" t="s">
        <v>9</v>
      </c>
      <c r="C31" s="21">
        <v>5784000</v>
      </c>
      <c r="D31" s="21">
        <v>284000</v>
      </c>
      <c r="E31" s="19">
        <f>D31</f>
        <v>284000</v>
      </c>
      <c r="F31" s="8" t="s">
        <v>168</v>
      </c>
      <c r="G31" s="8">
        <v>-5500000</v>
      </c>
      <c r="H31" s="21">
        <v>35200000</v>
      </c>
      <c r="J31" s="100"/>
    </row>
    <row r="32" spans="1:10" ht="12.75">
      <c r="A32" s="20">
        <v>212003</v>
      </c>
      <c r="B32" s="20" t="s">
        <v>10</v>
      </c>
      <c r="C32" s="21">
        <f>SUM(C33:C34)</f>
        <v>900000</v>
      </c>
      <c r="D32" s="21">
        <f>SUM(D33:D34)</f>
        <v>600000</v>
      </c>
      <c r="E32" s="19">
        <f>D32</f>
        <v>600000</v>
      </c>
      <c r="F32" s="8" t="s">
        <v>169</v>
      </c>
      <c r="G32" s="8">
        <v>-300000</v>
      </c>
      <c r="H32" s="21">
        <f>SUM(H33:H34)</f>
        <v>1615000</v>
      </c>
      <c r="J32" s="100"/>
    </row>
    <row r="33" spans="1:10" ht="12.75">
      <c r="A33" s="62">
        <v>212003</v>
      </c>
      <c r="B33" s="62" t="s">
        <v>384</v>
      </c>
      <c r="C33" s="63">
        <v>900000</v>
      </c>
      <c r="D33" s="63">
        <v>600000</v>
      </c>
      <c r="E33" s="64"/>
      <c r="F33" s="66"/>
      <c r="G33" s="66"/>
      <c r="H33" s="63">
        <v>600000</v>
      </c>
      <c r="J33" s="100"/>
    </row>
    <row r="34" spans="1:10" ht="12.75">
      <c r="A34" s="62">
        <v>212003</v>
      </c>
      <c r="B34" s="62" t="s">
        <v>385</v>
      </c>
      <c r="C34" s="63">
        <v>0</v>
      </c>
      <c r="D34" s="63">
        <v>0</v>
      </c>
      <c r="E34" s="64"/>
      <c r="F34" s="66"/>
      <c r="G34" s="66"/>
      <c r="H34" s="63">
        <f>780000+235000</f>
        <v>1015000</v>
      </c>
      <c r="I34" s="91" t="s">
        <v>411</v>
      </c>
      <c r="J34" s="100"/>
    </row>
    <row r="35" spans="1:10" ht="12.75">
      <c r="A35" s="17">
        <v>220</v>
      </c>
      <c r="B35" s="17" t="s">
        <v>329</v>
      </c>
      <c r="C35" s="18">
        <f aca="true" t="shared" si="11" ref="C35:H35">C36+C42+C44+C53</f>
        <v>4665000</v>
      </c>
      <c r="D35" s="18">
        <f t="shared" si="11"/>
        <v>4757000</v>
      </c>
      <c r="E35" s="18">
        <f t="shared" si="11"/>
        <v>2458000</v>
      </c>
      <c r="F35" s="18" t="e">
        <f t="shared" si="11"/>
        <v>#VALUE!</v>
      </c>
      <c r="G35" s="18">
        <f t="shared" si="11"/>
        <v>2000</v>
      </c>
      <c r="H35" s="18">
        <f t="shared" si="11"/>
        <v>5780000</v>
      </c>
      <c r="J35" s="100"/>
    </row>
    <row r="36" spans="1:10" ht="12.75">
      <c r="A36" s="13">
        <v>221</v>
      </c>
      <c r="B36" s="13" t="s">
        <v>330</v>
      </c>
      <c r="C36" s="19">
        <f aca="true" t="shared" si="12" ref="C36:H36">C37</f>
        <v>2180000</v>
      </c>
      <c r="D36" s="19">
        <f t="shared" si="12"/>
        <v>2180000</v>
      </c>
      <c r="E36" s="19">
        <f t="shared" si="12"/>
        <v>2180000</v>
      </c>
      <c r="F36" s="19" t="str">
        <f t="shared" si="12"/>
        <v>bez zmeny</v>
      </c>
      <c r="G36" s="19">
        <f t="shared" si="12"/>
        <v>0</v>
      </c>
      <c r="H36" s="19">
        <f t="shared" si="12"/>
        <v>3700000</v>
      </c>
      <c r="J36" s="100"/>
    </row>
    <row r="37" spans="1:10" ht="12.75">
      <c r="A37" s="20">
        <v>221004</v>
      </c>
      <c r="B37" s="20" t="s">
        <v>11</v>
      </c>
      <c r="C37" s="21">
        <f>SUM(C38:C41)</f>
        <v>2180000</v>
      </c>
      <c r="D37" s="21">
        <f>SUM(D38:D41)</f>
        <v>2180000</v>
      </c>
      <c r="E37" s="19">
        <f>D37</f>
        <v>2180000</v>
      </c>
      <c r="F37" s="1" t="s">
        <v>166</v>
      </c>
      <c r="G37" s="1">
        <v>0</v>
      </c>
      <c r="H37" s="21">
        <f>SUM(H38:H41)</f>
        <v>3700000</v>
      </c>
      <c r="I37" s="91"/>
      <c r="J37" s="100"/>
    </row>
    <row r="38" spans="1:10" ht="12.75">
      <c r="A38" s="62">
        <v>221004</v>
      </c>
      <c r="B38" s="62" t="s">
        <v>344</v>
      </c>
      <c r="C38" s="63">
        <v>1600000</v>
      </c>
      <c r="D38" s="63">
        <v>1600000</v>
      </c>
      <c r="E38" s="64"/>
      <c r="F38" s="65"/>
      <c r="G38" s="65"/>
      <c r="H38" s="63">
        <v>3000000</v>
      </c>
      <c r="I38" s="91"/>
      <c r="J38" s="100"/>
    </row>
    <row r="39" spans="1:10" ht="12.75">
      <c r="A39" s="62">
        <v>221004</v>
      </c>
      <c r="B39" s="62" t="s">
        <v>345</v>
      </c>
      <c r="C39" s="63">
        <v>200000</v>
      </c>
      <c r="D39" s="63">
        <v>200000</v>
      </c>
      <c r="E39" s="64"/>
      <c r="F39" s="65"/>
      <c r="G39" s="65"/>
      <c r="H39" s="63">
        <v>250000</v>
      </c>
      <c r="I39" s="91"/>
      <c r="J39" s="100"/>
    </row>
    <row r="40" spans="1:10" ht="12.75">
      <c r="A40" s="62">
        <v>221004</v>
      </c>
      <c r="B40" s="62" t="s">
        <v>346</v>
      </c>
      <c r="C40" s="63">
        <v>130000</v>
      </c>
      <c r="D40" s="63">
        <v>130000</v>
      </c>
      <c r="E40" s="64"/>
      <c r="F40" s="65"/>
      <c r="G40" s="65"/>
      <c r="H40" s="63">
        <v>150000</v>
      </c>
      <c r="I40" s="91"/>
      <c r="J40" s="100"/>
    </row>
    <row r="41" spans="1:10" ht="12.75">
      <c r="A41" s="62">
        <v>221004</v>
      </c>
      <c r="B41" s="62" t="s">
        <v>347</v>
      </c>
      <c r="C41" s="63">
        <v>250000</v>
      </c>
      <c r="D41" s="63">
        <v>250000</v>
      </c>
      <c r="E41" s="64"/>
      <c r="F41" s="65"/>
      <c r="G41" s="65"/>
      <c r="H41" s="63">
        <v>300000</v>
      </c>
      <c r="I41" s="91"/>
      <c r="J41" s="100"/>
    </row>
    <row r="42" spans="1:10" ht="12.75">
      <c r="A42" s="13">
        <v>222</v>
      </c>
      <c r="B42" s="13" t="s">
        <v>12</v>
      </c>
      <c r="C42" s="19">
        <f aca="true" t="shared" si="13" ref="C42:H42">C43</f>
        <v>160000</v>
      </c>
      <c r="D42" s="19">
        <f t="shared" si="13"/>
        <v>160000</v>
      </c>
      <c r="E42" s="19">
        <f t="shared" si="13"/>
        <v>160000</v>
      </c>
      <c r="F42" s="19" t="str">
        <f t="shared" si="13"/>
        <v>bez zmeny</v>
      </c>
      <c r="G42" s="19">
        <f t="shared" si="13"/>
        <v>0</v>
      </c>
      <c r="H42" s="19">
        <f t="shared" si="13"/>
        <v>0</v>
      </c>
      <c r="J42" s="100"/>
    </row>
    <row r="43" spans="1:10" ht="12.75">
      <c r="A43" s="20">
        <v>222003</v>
      </c>
      <c r="B43" s="20" t="s">
        <v>331</v>
      </c>
      <c r="C43" s="21">
        <v>160000</v>
      </c>
      <c r="D43" s="21">
        <v>160000</v>
      </c>
      <c r="E43" s="19">
        <f>D43</f>
        <v>160000</v>
      </c>
      <c r="F43" s="1" t="s">
        <v>166</v>
      </c>
      <c r="G43" s="1">
        <v>0</v>
      </c>
      <c r="H43" s="21">
        <v>0</v>
      </c>
      <c r="J43" s="100"/>
    </row>
    <row r="44" spans="1:10" ht="12.75">
      <c r="A44" s="13">
        <v>223</v>
      </c>
      <c r="B44" s="13" t="s">
        <v>332</v>
      </c>
      <c r="C44" s="19">
        <f aca="true" t="shared" si="14" ref="C44:H44">C45+C52</f>
        <v>2300000</v>
      </c>
      <c r="D44" s="19">
        <f t="shared" si="14"/>
        <v>2392000</v>
      </c>
      <c r="E44" s="19">
        <f t="shared" si="14"/>
        <v>93000</v>
      </c>
      <c r="F44" s="19" t="e">
        <f t="shared" si="14"/>
        <v>#VALUE!</v>
      </c>
      <c r="G44" s="19">
        <f t="shared" si="14"/>
        <v>2000</v>
      </c>
      <c r="H44" s="19">
        <f t="shared" si="14"/>
        <v>2078000</v>
      </c>
      <c r="J44" s="100"/>
    </row>
    <row r="45" spans="1:10" ht="12.75">
      <c r="A45" s="20">
        <v>223001</v>
      </c>
      <c r="B45" s="20" t="s">
        <v>333</v>
      </c>
      <c r="C45" s="21">
        <v>2210000</v>
      </c>
      <c r="D45" s="21">
        <f>SUM(D46:D51)</f>
        <v>2299000</v>
      </c>
      <c r="H45" s="21">
        <f>SUM(H46:H51)</f>
        <v>1988000</v>
      </c>
      <c r="J45" s="100"/>
    </row>
    <row r="46" spans="1:10" ht="12.75">
      <c r="A46" s="62">
        <v>223001</v>
      </c>
      <c r="B46" s="62" t="s">
        <v>171</v>
      </c>
      <c r="C46" s="63">
        <v>50000</v>
      </c>
      <c r="D46" s="63">
        <v>50000</v>
      </c>
      <c r="E46" s="64">
        <f aca="true" t="shared" si="15" ref="E46:E52">D46</f>
        <v>50000</v>
      </c>
      <c r="F46" s="65" t="s">
        <v>166</v>
      </c>
      <c r="G46" s="65">
        <v>0</v>
      </c>
      <c r="H46" s="63">
        <v>50000</v>
      </c>
      <c r="J46" s="100"/>
    </row>
    <row r="47" spans="1:10" ht="12.75">
      <c r="A47" s="62">
        <v>223001</v>
      </c>
      <c r="B47" s="62" t="s">
        <v>172</v>
      </c>
      <c r="C47" s="63">
        <v>72000</v>
      </c>
      <c r="D47" s="63">
        <v>74000</v>
      </c>
      <c r="E47" s="64">
        <f t="shared" si="15"/>
        <v>74000</v>
      </c>
      <c r="F47" s="65" t="s">
        <v>170</v>
      </c>
      <c r="G47" s="66">
        <f>ROUND(C47*(C$4),-3)</f>
        <v>2000</v>
      </c>
      <c r="H47" s="63">
        <v>68000</v>
      </c>
      <c r="J47" s="100"/>
    </row>
    <row r="48" spans="1:10" ht="12.75">
      <c r="A48" s="62">
        <v>223001</v>
      </c>
      <c r="B48" s="62" t="s">
        <v>173</v>
      </c>
      <c r="C48" s="63">
        <v>1100000</v>
      </c>
      <c r="D48" s="63">
        <v>1130000</v>
      </c>
      <c r="E48" s="64">
        <f t="shared" si="15"/>
        <v>1130000</v>
      </c>
      <c r="F48" s="65" t="s">
        <v>170</v>
      </c>
      <c r="G48" s="66">
        <f>ROUND(C48*(C$4),-3)</f>
        <v>28000</v>
      </c>
      <c r="H48" s="63">
        <v>1050000</v>
      </c>
      <c r="J48" s="100"/>
    </row>
    <row r="49" spans="1:10" ht="12.75">
      <c r="A49" s="62">
        <v>223001</v>
      </c>
      <c r="B49" s="62" t="s">
        <v>174</v>
      </c>
      <c r="C49" s="63">
        <v>300000</v>
      </c>
      <c r="D49" s="63">
        <v>300000</v>
      </c>
      <c r="E49" s="64">
        <f t="shared" si="15"/>
        <v>300000</v>
      </c>
      <c r="F49" s="65" t="s">
        <v>166</v>
      </c>
      <c r="G49" s="65">
        <v>0</v>
      </c>
      <c r="H49" s="63">
        <v>300000</v>
      </c>
      <c r="J49" s="100"/>
    </row>
    <row r="50" spans="1:10" ht="12.75">
      <c r="A50" s="62">
        <v>223001</v>
      </c>
      <c r="B50" s="62" t="s">
        <v>175</v>
      </c>
      <c r="C50" s="63">
        <v>213000</v>
      </c>
      <c r="D50" s="63">
        <v>220000</v>
      </c>
      <c r="E50" s="64">
        <f t="shared" si="15"/>
        <v>220000</v>
      </c>
      <c r="F50" s="65" t="s">
        <v>170</v>
      </c>
      <c r="G50" s="66">
        <f>ROUND(C50*(C$4),-3)</f>
        <v>5000</v>
      </c>
      <c r="H50" s="63">
        <v>300000</v>
      </c>
      <c r="J50" s="100"/>
    </row>
    <row r="51" spans="1:10" ht="12.75">
      <c r="A51" s="62">
        <v>223001</v>
      </c>
      <c r="B51" s="62" t="s">
        <v>176</v>
      </c>
      <c r="C51" s="63">
        <v>475000</v>
      </c>
      <c r="D51" s="63">
        <v>525000</v>
      </c>
      <c r="E51" s="64">
        <f t="shared" si="15"/>
        <v>525000</v>
      </c>
      <c r="F51" s="66" t="s">
        <v>177</v>
      </c>
      <c r="G51" s="66">
        <f>ROUND(C51*(10%),-3)</f>
        <v>48000</v>
      </c>
      <c r="H51" s="63">
        <v>220000</v>
      </c>
      <c r="J51" s="100"/>
    </row>
    <row r="52" spans="1:10" ht="12.75">
      <c r="A52" s="20">
        <v>223003</v>
      </c>
      <c r="B52" s="20" t="s">
        <v>348</v>
      </c>
      <c r="C52" s="21">
        <v>90000</v>
      </c>
      <c r="D52" s="21">
        <v>93000</v>
      </c>
      <c r="E52" s="19">
        <f t="shared" si="15"/>
        <v>93000</v>
      </c>
      <c r="F52" s="1" t="s">
        <v>170</v>
      </c>
      <c r="G52" s="8">
        <f>ROUND(C52*(C$4),-3)</f>
        <v>2000</v>
      </c>
      <c r="H52" s="21">
        <v>90000</v>
      </c>
      <c r="J52" s="100"/>
    </row>
    <row r="53" spans="1:10" ht="12.75">
      <c r="A53" s="13">
        <v>229</v>
      </c>
      <c r="B53" s="13" t="s">
        <v>334</v>
      </c>
      <c r="C53" s="19">
        <f aca="true" t="shared" si="16" ref="C53:H53">C54</f>
        <v>25000</v>
      </c>
      <c r="D53" s="19">
        <f t="shared" si="16"/>
        <v>25000</v>
      </c>
      <c r="E53" s="19">
        <f t="shared" si="16"/>
        <v>25000</v>
      </c>
      <c r="F53" s="19" t="str">
        <f t="shared" si="16"/>
        <v>bez zmeny</v>
      </c>
      <c r="G53" s="19">
        <f t="shared" si="16"/>
        <v>0</v>
      </c>
      <c r="H53" s="19">
        <f t="shared" si="16"/>
        <v>2000</v>
      </c>
      <c r="J53" s="100"/>
    </row>
    <row r="54" spans="1:10" ht="12.75">
      <c r="A54" s="20">
        <v>229005</v>
      </c>
      <c r="B54" s="20" t="s">
        <v>13</v>
      </c>
      <c r="C54" s="21">
        <v>25000</v>
      </c>
      <c r="D54" s="21">
        <v>25000</v>
      </c>
      <c r="E54" s="19">
        <f>D54</f>
        <v>25000</v>
      </c>
      <c r="F54" s="1" t="s">
        <v>166</v>
      </c>
      <c r="G54" s="1">
        <v>0</v>
      </c>
      <c r="H54" s="21">
        <v>2000</v>
      </c>
      <c r="J54" s="100"/>
    </row>
    <row r="55" spans="1:10" ht="12.75">
      <c r="A55" s="17">
        <v>240</v>
      </c>
      <c r="B55" s="17" t="s">
        <v>14</v>
      </c>
      <c r="C55" s="18">
        <f aca="true" t="shared" si="17" ref="C55:H55">+C56+C57</f>
        <v>321000</v>
      </c>
      <c r="D55" s="18">
        <f t="shared" si="17"/>
        <v>50000</v>
      </c>
      <c r="E55" s="18">
        <f t="shared" si="17"/>
        <v>321000</v>
      </c>
      <c r="F55" s="18">
        <f t="shared" si="17"/>
        <v>321000</v>
      </c>
      <c r="G55" s="18">
        <f t="shared" si="17"/>
        <v>321000</v>
      </c>
      <c r="H55" s="18">
        <f t="shared" si="17"/>
        <v>435000</v>
      </c>
      <c r="J55" s="100"/>
    </row>
    <row r="56" spans="1:10" ht="12.75">
      <c r="A56" s="13">
        <v>242</v>
      </c>
      <c r="B56" s="13" t="s">
        <v>341</v>
      </c>
      <c r="C56" s="19">
        <v>31000</v>
      </c>
      <c r="D56" s="19">
        <v>50000</v>
      </c>
      <c r="E56" s="19">
        <v>31000</v>
      </c>
      <c r="F56" s="19">
        <v>31000</v>
      </c>
      <c r="G56" s="19">
        <v>31000</v>
      </c>
      <c r="H56" s="19">
        <f>200000+235000</f>
        <v>435000</v>
      </c>
      <c r="J56" s="100"/>
    </row>
    <row r="57" spans="1:10" ht="12.75">
      <c r="A57" s="13">
        <v>244</v>
      </c>
      <c r="B57" s="13" t="s">
        <v>335</v>
      </c>
      <c r="C57" s="19">
        <v>290000</v>
      </c>
      <c r="D57" s="19">
        <v>0</v>
      </c>
      <c r="E57" s="19">
        <v>290000</v>
      </c>
      <c r="F57" s="19">
        <v>290000</v>
      </c>
      <c r="G57" s="19">
        <v>290000</v>
      </c>
      <c r="H57" s="19">
        <v>0</v>
      </c>
      <c r="J57" s="100"/>
    </row>
    <row r="58" spans="1:10" ht="12.75">
      <c r="A58" s="17">
        <v>290</v>
      </c>
      <c r="B58" s="17" t="s">
        <v>336</v>
      </c>
      <c r="C58" s="18">
        <f aca="true" t="shared" si="18" ref="C58:H58">C59</f>
        <v>983000</v>
      </c>
      <c r="D58" s="18">
        <f t="shared" si="18"/>
        <v>993000</v>
      </c>
      <c r="E58" s="18">
        <f t="shared" si="18"/>
        <v>993000</v>
      </c>
      <c r="F58" s="18" t="e">
        <f t="shared" si="18"/>
        <v>#VALUE!</v>
      </c>
      <c r="G58" s="18">
        <f t="shared" si="18"/>
        <v>6000</v>
      </c>
      <c r="H58" s="18">
        <f t="shared" si="18"/>
        <v>1050000</v>
      </c>
      <c r="J58" s="100"/>
    </row>
    <row r="59" spans="1:10" ht="12.75">
      <c r="A59" s="13">
        <v>292</v>
      </c>
      <c r="B59" s="13" t="s">
        <v>337</v>
      </c>
      <c r="C59" s="19">
        <f aca="true" t="shared" si="19" ref="C59:H59">C60+C61</f>
        <v>983000</v>
      </c>
      <c r="D59" s="19">
        <f t="shared" si="19"/>
        <v>993000</v>
      </c>
      <c r="E59" s="19">
        <f t="shared" si="19"/>
        <v>993000</v>
      </c>
      <c r="F59" s="19" t="e">
        <f t="shared" si="19"/>
        <v>#VALUE!</v>
      </c>
      <c r="G59" s="19">
        <f t="shared" si="19"/>
        <v>6000</v>
      </c>
      <c r="H59" s="19">
        <f t="shared" si="19"/>
        <v>1050000</v>
      </c>
      <c r="J59" s="100"/>
    </row>
    <row r="60" spans="1:10" ht="12.75">
      <c r="A60" s="20">
        <v>292008</v>
      </c>
      <c r="B60" s="20" t="s">
        <v>15</v>
      </c>
      <c r="C60" s="21">
        <v>250000</v>
      </c>
      <c r="D60" s="21">
        <v>260000</v>
      </c>
      <c r="E60" s="19">
        <f>D60</f>
        <v>260000</v>
      </c>
      <c r="F60" s="1" t="s">
        <v>170</v>
      </c>
      <c r="G60" s="8">
        <f>ROUND(C60*(C$4),-3)</f>
        <v>6000</v>
      </c>
      <c r="H60" s="21">
        <v>250000</v>
      </c>
      <c r="J60" s="100"/>
    </row>
    <row r="61" spans="1:10" ht="12.75">
      <c r="A61" s="20">
        <v>292009</v>
      </c>
      <c r="B61" s="20" t="s">
        <v>178</v>
      </c>
      <c r="C61" s="21">
        <v>733000</v>
      </c>
      <c r="D61" s="21">
        <v>733000</v>
      </c>
      <c r="E61" s="19">
        <f>D61</f>
        <v>733000</v>
      </c>
      <c r="F61" s="1" t="s">
        <v>166</v>
      </c>
      <c r="G61" s="1">
        <v>0</v>
      </c>
      <c r="H61" s="21">
        <v>800000</v>
      </c>
      <c r="J61" s="100"/>
    </row>
    <row r="62" spans="1:10" ht="12.75">
      <c r="A62" s="15">
        <v>300</v>
      </c>
      <c r="B62" s="15" t="s">
        <v>338</v>
      </c>
      <c r="C62" s="16">
        <f aca="true" t="shared" si="20" ref="C62:H62">C63</f>
        <v>74605000</v>
      </c>
      <c r="D62" s="16">
        <f t="shared" si="20"/>
        <v>74675000</v>
      </c>
      <c r="E62" s="16">
        <f t="shared" si="20"/>
        <v>74675000</v>
      </c>
      <c r="F62" s="16" t="e">
        <f t="shared" si="20"/>
        <v>#VALUE!</v>
      </c>
      <c r="G62" s="16">
        <f t="shared" si="20"/>
        <v>58000</v>
      </c>
      <c r="H62" s="16">
        <f t="shared" si="20"/>
        <v>79683000</v>
      </c>
      <c r="J62" s="100"/>
    </row>
    <row r="63" spans="1:10" ht="12.75">
      <c r="A63" s="17">
        <v>310</v>
      </c>
      <c r="B63" s="17" t="s">
        <v>339</v>
      </c>
      <c r="C63" s="18">
        <f aca="true" t="shared" si="21" ref="C63:H63">C64+C65</f>
        <v>74605000</v>
      </c>
      <c r="D63" s="18">
        <f t="shared" si="21"/>
        <v>74675000</v>
      </c>
      <c r="E63" s="18">
        <f t="shared" si="21"/>
        <v>74675000</v>
      </c>
      <c r="F63" s="18" t="e">
        <f t="shared" si="21"/>
        <v>#VALUE!</v>
      </c>
      <c r="G63" s="18">
        <f t="shared" si="21"/>
        <v>58000</v>
      </c>
      <c r="H63" s="18">
        <f t="shared" si="21"/>
        <v>79683000</v>
      </c>
      <c r="J63" s="100"/>
    </row>
    <row r="64" spans="1:10" ht="12.75">
      <c r="A64" s="13">
        <v>311</v>
      </c>
      <c r="B64" s="13" t="s">
        <v>179</v>
      </c>
      <c r="C64" s="19">
        <v>10000</v>
      </c>
      <c r="D64" s="19">
        <v>10000</v>
      </c>
      <c r="E64" s="19">
        <f>D64</f>
        <v>10000</v>
      </c>
      <c r="F64" s="1" t="s">
        <v>166</v>
      </c>
      <c r="G64" s="1">
        <v>0</v>
      </c>
      <c r="H64" s="19">
        <v>30000</v>
      </c>
      <c r="J64" s="100"/>
    </row>
    <row r="65" spans="1:10" ht="12.75">
      <c r="A65" s="13">
        <v>312</v>
      </c>
      <c r="B65" s="13" t="s">
        <v>340</v>
      </c>
      <c r="C65" s="19">
        <f aca="true" t="shared" si="22" ref="C65:H65">C66+C78+C79+C80</f>
        <v>74595000</v>
      </c>
      <c r="D65" s="19">
        <f t="shared" si="22"/>
        <v>74665000</v>
      </c>
      <c r="E65" s="19">
        <f t="shared" si="22"/>
        <v>74665000</v>
      </c>
      <c r="F65" s="19" t="e">
        <f t="shared" si="22"/>
        <v>#VALUE!</v>
      </c>
      <c r="G65" s="19">
        <f t="shared" si="22"/>
        <v>58000</v>
      </c>
      <c r="H65" s="19">
        <f t="shared" si="22"/>
        <v>79653000</v>
      </c>
      <c r="J65" s="100"/>
    </row>
    <row r="66" spans="1:10" ht="12.75">
      <c r="A66" s="20">
        <v>312001</v>
      </c>
      <c r="B66" s="20" t="s">
        <v>16</v>
      </c>
      <c r="C66" s="21">
        <v>72165000</v>
      </c>
      <c r="D66" s="21">
        <v>72165000</v>
      </c>
      <c r="E66" s="21">
        <v>72165000</v>
      </c>
      <c r="F66" s="8" t="s">
        <v>180</v>
      </c>
      <c r="G66" s="8"/>
      <c r="H66" s="21">
        <f>SUM(H67:H77)</f>
        <v>77213000</v>
      </c>
      <c r="I66" s="91"/>
      <c r="J66" s="100"/>
    </row>
    <row r="67" spans="1:10" ht="12.75">
      <c r="A67" s="62">
        <v>312001</v>
      </c>
      <c r="B67" s="62" t="s">
        <v>368</v>
      </c>
      <c r="C67" s="63">
        <v>14917000</v>
      </c>
      <c r="D67" s="63">
        <v>14917000</v>
      </c>
      <c r="E67" s="63"/>
      <c r="F67" s="66"/>
      <c r="G67" s="66"/>
      <c r="H67" s="63">
        <v>15469000</v>
      </c>
      <c r="I67" s="91"/>
      <c r="J67" s="100"/>
    </row>
    <row r="68" spans="1:10" ht="12.75">
      <c r="A68" s="62">
        <v>312001</v>
      </c>
      <c r="B68" s="62" t="s">
        <v>369</v>
      </c>
      <c r="C68" s="63">
        <v>490000</v>
      </c>
      <c r="D68" s="63">
        <v>490000</v>
      </c>
      <c r="E68" s="21"/>
      <c r="F68" s="8"/>
      <c r="G68" s="8"/>
      <c r="H68" s="63">
        <v>630000</v>
      </c>
      <c r="I68" s="91"/>
      <c r="J68" s="100"/>
    </row>
    <row r="69" spans="1:10" ht="12.75">
      <c r="A69" s="62">
        <v>312001</v>
      </c>
      <c r="B69" s="62" t="s">
        <v>370</v>
      </c>
      <c r="C69" s="63">
        <v>2466000</v>
      </c>
      <c r="D69" s="63">
        <v>2466000</v>
      </c>
      <c r="E69" s="21"/>
      <c r="F69" s="8"/>
      <c r="G69" s="8"/>
      <c r="H69" s="63">
        <v>3350000</v>
      </c>
      <c r="I69" s="91"/>
      <c r="J69" s="100"/>
    </row>
    <row r="70" spans="1:10" ht="12.75">
      <c r="A70" s="62">
        <v>312001</v>
      </c>
      <c r="B70" s="62" t="s">
        <v>371</v>
      </c>
      <c r="C70" s="63">
        <v>615000</v>
      </c>
      <c r="D70" s="63">
        <v>615000</v>
      </c>
      <c r="E70" s="21"/>
      <c r="F70" s="8"/>
      <c r="G70" s="8"/>
      <c r="H70" s="63">
        <v>615000</v>
      </c>
      <c r="I70" s="91"/>
      <c r="J70" s="100"/>
    </row>
    <row r="71" spans="1:10" ht="12.75">
      <c r="A71" s="62">
        <v>312001</v>
      </c>
      <c r="B71" s="62" t="s">
        <v>372</v>
      </c>
      <c r="C71" s="63">
        <v>450000</v>
      </c>
      <c r="D71" s="63">
        <v>450000</v>
      </c>
      <c r="E71" s="21"/>
      <c r="F71" s="8"/>
      <c r="G71" s="8"/>
      <c r="H71" s="63">
        <v>1020000</v>
      </c>
      <c r="I71" s="91"/>
      <c r="J71" s="100"/>
    </row>
    <row r="72" spans="1:10" ht="12.75">
      <c r="A72" s="62">
        <v>312001</v>
      </c>
      <c r="B72" s="62" t="s">
        <v>466</v>
      </c>
      <c r="C72" s="63"/>
      <c r="D72" s="63"/>
      <c r="E72" s="21"/>
      <c r="F72" s="8"/>
      <c r="G72" s="8"/>
      <c r="H72" s="63">
        <v>2000</v>
      </c>
      <c r="I72" s="91"/>
      <c r="J72" s="100"/>
    </row>
    <row r="73" spans="1:10" ht="12.75">
      <c r="A73" s="62">
        <v>312001</v>
      </c>
      <c r="B73" s="62" t="s">
        <v>373</v>
      </c>
      <c r="C73" s="63">
        <v>274000</v>
      </c>
      <c r="D73" s="63">
        <v>274000</v>
      </c>
      <c r="E73" s="21"/>
      <c r="F73" s="8"/>
      <c r="G73" s="8"/>
      <c r="H73" s="63">
        <v>320000</v>
      </c>
      <c r="I73" s="91"/>
      <c r="J73" s="100"/>
    </row>
    <row r="74" spans="1:10" ht="12.75">
      <c r="A74" s="62">
        <v>312001</v>
      </c>
      <c r="B74" s="62" t="s">
        <v>374</v>
      </c>
      <c r="C74" s="63">
        <v>49022000</v>
      </c>
      <c r="D74" s="63">
        <v>49022000</v>
      </c>
      <c r="E74" s="21"/>
      <c r="F74" s="8"/>
      <c r="G74" s="8"/>
      <c r="H74" s="63">
        <v>51291000</v>
      </c>
      <c r="I74" s="91"/>
      <c r="J74" s="100"/>
    </row>
    <row r="75" spans="1:10" ht="12.75">
      <c r="A75" s="62">
        <v>312001</v>
      </c>
      <c r="B75" s="62" t="s">
        <v>375</v>
      </c>
      <c r="C75" s="63"/>
      <c r="D75" s="63"/>
      <c r="E75" s="21"/>
      <c r="F75" s="8"/>
      <c r="G75" s="8"/>
      <c r="H75" s="63">
        <f>'Výdaje podľa akcií'!P154</f>
        <v>3477000</v>
      </c>
      <c r="I75" s="91"/>
      <c r="J75" s="100"/>
    </row>
    <row r="76" spans="1:10" ht="12.75">
      <c r="A76" s="62">
        <v>312001</v>
      </c>
      <c r="B76" s="62" t="s">
        <v>376</v>
      </c>
      <c r="C76" s="63">
        <v>527000</v>
      </c>
      <c r="D76" s="63">
        <v>527000</v>
      </c>
      <c r="E76" s="21"/>
      <c r="F76" s="8"/>
      <c r="G76" s="8"/>
      <c r="H76" s="63">
        <v>1024000</v>
      </c>
      <c r="I76" s="91"/>
      <c r="J76" s="100"/>
    </row>
    <row r="77" spans="1:10" ht="12.75">
      <c r="A77" s="62">
        <v>312001</v>
      </c>
      <c r="B77" s="62" t="s">
        <v>520</v>
      </c>
      <c r="C77" s="63"/>
      <c r="D77" s="63"/>
      <c r="E77" s="21"/>
      <c r="F77" s="8"/>
      <c r="G77" s="8"/>
      <c r="H77" s="63">
        <v>15000</v>
      </c>
      <c r="I77" s="91"/>
      <c r="J77" s="100"/>
    </row>
    <row r="78" spans="1:10" ht="12.75">
      <c r="A78" s="20">
        <v>312002</v>
      </c>
      <c r="B78" s="20" t="s">
        <v>181</v>
      </c>
      <c r="C78" s="21">
        <v>225000</v>
      </c>
      <c r="D78" s="21">
        <v>250000</v>
      </c>
      <c r="E78" s="19">
        <f>D78</f>
        <v>250000</v>
      </c>
      <c r="F78" s="8" t="s">
        <v>177</v>
      </c>
      <c r="G78" s="8">
        <f>ROUND(C78*(10%),-3)</f>
        <v>23000</v>
      </c>
      <c r="H78" s="21">
        <v>300000</v>
      </c>
      <c r="I78" s="91"/>
      <c r="J78" s="100"/>
    </row>
    <row r="79" spans="1:11" ht="12.75">
      <c r="A79" s="20">
        <v>312007</v>
      </c>
      <c r="B79" s="20" t="s">
        <v>387</v>
      </c>
      <c r="C79" s="21">
        <v>800000</v>
      </c>
      <c r="D79" s="21">
        <v>800000</v>
      </c>
      <c r="E79" s="19">
        <f>D79</f>
        <v>800000</v>
      </c>
      <c r="F79" s="8" t="s">
        <v>182</v>
      </c>
      <c r="G79" s="8"/>
      <c r="H79" s="21">
        <v>250000</v>
      </c>
      <c r="I79" s="91"/>
      <c r="J79" s="100"/>
      <c r="K79" s="1"/>
    </row>
    <row r="80" spans="1:10" ht="12.75">
      <c r="A80" s="20">
        <v>312008</v>
      </c>
      <c r="B80" s="20" t="s">
        <v>386</v>
      </c>
      <c r="C80" s="21">
        <v>1405000</v>
      </c>
      <c r="D80" s="21">
        <v>1450000</v>
      </c>
      <c r="E80" s="19">
        <f>D80</f>
        <v>1450000</v>
      </c>
      <c r="F80" s="1" t="s">
        <v>170</v>
      </c>
      <c r="G80" s="8">
        <f>ROUND(C80*(C$4),-3)</f>
        <v>35000</v>
      </c>
      <c r="H80" s="21">
        <v>1890000</v>
      </c>
      <c r="I80" s="91"/>
      <c r="J80" s="100"/>
    </row>
    <row r="81" spans="1:10" ht="12.75">
      <c r="A81" s="22"/>
      <c r="B81" s="22" t="s">
        <v>17</v>
      </c>
      <c r="C81" s="23">
        <f aca="true" t="shared" si="23" ref="C81:H81">C7+C26+C62</f>
        <v>185261000</v>
      </c>
      <c r="D81" s="23">
        <f t="shared" si="23"/>
        <v>190772000</v>
      </c>
      <c r="E81" s="23">
        <f t="shared" si="23"/>
        <v>200662000</v>
      </c>
      <c r="F81" s="23" t="e">
        <f t="shared" si="23"/>
        <v>#VALUE!</v>
      </c>
      <c r="G81" s="23">
        <f t="shared" si="23"/>
        <v>12399000</v>
      </c>
      <c r="H81" s="23">
        <f t="shared" si="23"/>
        <v>236263000</v>
      </c>
      <c r="J81" s="100"/>
    </row>
    <row r="83" spans="3:5" ht="12.75">
      <c r="C83" s="2"/>
      <c r="D83" s="2"/>
      <c r="E83" s="2"/>
    </row>
    <row r="84" spans="1:12" ht="12.75">
      <c r="A84" s="6" t="s">
        <v>260</v>
      </c>
      <c r="B84" s="7"/>
      <c r="C84" s="39"/>
      <c r="D84" s="39"/>
      <c r="E84" s="39"/>
      <c r="H84" s="5">
        <f>H86+H88+H92</f>
        <v>10590000</v>
      </c>
      <c r="L84">
        <f>H84/1000</f>
        <v>10590</v>
      </c>
    </row>
    <row r="85" spans="2:5" ht="12.75">
      <c r="B85" s="40"/>
      <c r="C85" s="41"/>
      <c r="D85" s="41"/>
      <c r="E85" s="41"/>
    </row>
    <row r="86" spans="1:12" ht="12.75">
      <c r="A86" s="7" t="s">
        <v>261</v>
      </c>
      <c r="H86" s="5">
        <f>H87</f>
        <v>6535000</v>
      </c>
      <c r="L86">
        <f aca="true" t="shared" si="24" ref="L86:L106">H86/1000</f>
        <v>6535</v>
      </c>
    </row>
    <row r="87" spans="2:12" ht="12.75">
      <c r="B87" s="13" t="s">
        <v>259</v>
      </c>
      <c r="C87" s="21"/>
      <c r="D87" s="21"/>
      <c r="E87" s="21"/>
      <c r="F87" s="21"/>
      <c r="G87" s="21"/>
      <c r="H87" s="21">
        <v>6535000</v>
      </c>
      <c r="I87" s="93"/>
      <c r="L87">
        <f t="shared" si="24"/>
        <v>6535</v>
      </c>
    </row>
    <row r="88" spans="1:12" ht="12.75">
      <c r="A88" s="7" t="s">
        <v>262</v>
      </c>
      <c r="H88" s="5">
        <f>SUM(H89:H91)</f>
        <v>188000</v>
      </c>
      <c r="I88" s="93"/>
      <c r="L88">
        <f t="shared" si="24"/>
        <v>188</v>
      </c>
    </row>
    <row r="89" spans="2:12" ht="12.75">
      <c r="B89" s="13" t="s">
        <v>263</v>
      </c>
      <c r="C89" s="21"/>
      <c r="D89" s="21"/>
      <c r="E89" s="21"/>
      <c r="F89" s="21"/>
      <c r="G89" s="21"/>
      <c r="H89" s="21">
        <v>70000</v>
      </c>
      <c r="I89" s="93"/>
      <c r="J89" s="1"/>
      <c r="L89">
        <f t="shared" si="24"/>
        <v>70</v>
      </c>
    </row>
    <row r="90" spans="2:12" ht="12.75">
      <c r="B90" s="13" t="s">
        <v>264</v>
      </c>
      <c r="C90" s="21"/>
      <c r="D90" s="21"/>
      <c r="E90" s="21"/>
      <c r="F90" s="21"/>
      <c r="G90" s="21"/>
      <c r="H90" s="21">
        <v>40000</v>
      </c>
      <c r="I90" s="93"/>
      <c r="L90">
        <f t="shared" si="24"/>
        <v>40</v>
      </c>
    </row>
    <row r="91" spans="2:12" ht="12.75">
      <c r="B91" s="13" t="s">
        <v>267</v>
      </c>
      <c r="C91" s="21"/>
      <c r="D91" s="21"/>
      <c r="E91" s="21"/>
      <c r="F91" s="21"/>
      <c r="G91" s="21"/>
      <c r="H91" s="21">
        <v>78000</v>
      </c>
      <c r="I91" s="93"/>
      <c r="L91">
        <f t="shared" si="24"/>
        <v>78</v>
      </c>
    </row>
    <row r="92" spans="1:12" ht="12.75">
      <c r="A92" s="7" t="s">
        <v>265</v>
      </c>
      <c r="H92" s="5">
        <f>SUM(H93:H106)</f>
        <v>3867000</v>
      </c>
      <c r="I92" s="93"/>
      <c r="L92">
        <f t="shared" si="24"/>
        <v>3867</v>
      </c>
    </row>
    <row r="93" spans="2:12" ht="12.75">
      <c r="B93" s="13" t="s">
        <v>270</v>
      </c>
      <c r="C93" s="21"/>
      <c r="D93" s="21"/>
      <c r="E93" s="21"/>
      <c r="F93" s="21"/>
      <c r="G93" s="21"/>
      <c r="H93" s="21">
        <v>80000</v>
      </c>
      <c r="I93" s="2"/>
      <c r="L93">
        <f t="shared" si="24"/>
        <v>80</v>
      </c>
    </row>
    <row r="94" spans="2:12" ht="12.75">
      <c r="B94" s="13" t="s">
        <v>271</v>
      </c>
      <c r="C94" s="21"/>
      <c r="D94" s="21"/>
      <c r="E94" s="21"/>
      <c r="F94" s="21"/>
      <c r="G94" s="21"/>
      <c r="H94" s="21">
        <v>40000</v>
      </c>
      <c r="I94" s="2"/>
      <c r="L94">
        <f t="shared" si="24"/>
        <v>40</v>
      </c>
    </row>
    <row r="95" spans="2:12" ht="12.75">
      <c r="B95" s="13" t="s">
        <v>269</v>
      </c>
      <c r="C95" s="21"/>
      <c r="D95" s="21"/>
      <c r="E95" s="21"/>
      <c r="F95" s="21"/>
      <c r="G95" s="21"/>
      <c r="H95" s="21">
        <v>35000</v>
      </c>
      <c r="I95" s="2"/>
      <c r="L95">
        <f t="shared" si="24"/>
        <v>35</v>
      </c>
    </row>
    <row r="96" spans="2:12" ht="12.75">
      <c r="B96" s="13" t="s">
        <v>266</v>
      </c>
      <c r="C96" s="21"/>
      <c r="D96" s="21"/>
      <c r="E96" s="21"/>
      <c r="F96" s="21"/>
      <c r="G96" s="21"/>
      <c r="H96" s="21">
        <v>750000</v>
      </c>
      <c r="I96" s="2"/>
      <c r="L96">
        <f t="shared" si="24"/>
        <v>750</v>
      </c>
    </row>
    <row r="97" spans="2:12" ht="12.75">
      <c r="B97" s="13" t="s">
        <v>268</v>
      </c>
      <c r="C97" s="21"/>
      <c r="D97" s="21"/>
      <c r="E97" s="21"/>
      <c r="F97" s="21"/>
      <c r="G97" s="21"/>
      <c r="H97" s="21">
        <v>410000</v>
      </c>
      <c r="I97" s="2"/>
      <c r="L97">
        <f t="shared" si="24"/>
        <v>410</v>
      </c>
    </row>
    <row r="98" spans="2:12" ht="12.75">
      <c r="B98" s="13" t="s">
        <v>441</v>
      </c>
      <c r="C98" s="21"/>
      <c r="D98" s="21"/>
      <c r="E98" s="21"/>
      <c r="F98" s="21"/>
      <c r="G98" s="21"/>
      <c r="H98" s="21">
        <f>320000+19000+181000</f>
        <v>520000</v>
      </c>
      <c r="I98" s="2" t="s">
        <v>439</v>
      </c>
      <c r="L98">
        <f t="shared" si="24"/>
        <v>520</v>
      </c>
    </row>
    <row r="99" spans="2:12" ht="12.75">
      <c r="B99" s="13" t="s">
        <v>442</v>
      </c>
      <c r="C99" s="21"/>
      <c r="D99" s="21"/>
      <c r="E99" s="21"/>
      <c r="F99" s="21"/>
      <c r="G99" s="21"/>
      <c r="H99" s="21">
        <f>200000+131000</f>
        <v>331000</v>
      </c>
      <c r="I99" s="2" t="s">
        <v>285</v>
      </c>
      <c r="L99">
        <f t="shared" si="24"/>
        <v>331</v>
      </c>
    </row>
    <row r="100" spans="2:12" ht="12.75">
      <c r="B100" s="13" t="s">
        <v>443</v>
      </c>
      <c r="C100" s="21"/>
      <c r="D100" s="21"/>
      <c r="E100" s="21"/>
      <c r="F100" s="21"/>
      <c r="G100" s="21"/>
      <c r="H100" s="21">
        <f>64000+70000</f>
        <v>134000</v>
      </c>
      <c r="I100" s="2" t="s">
        <v>286</v>
      </c>
      <c r="L100">
        <f t="shared" si="24"/>
        <v>134</v>
      </c>
    </row>
    <row r="101" spans="2:12" ht="12.75">
      <c r="B101" s="13" t="s">
        <v>444</v>
      </c>
      <c r="C101" s="21"/>
      <c r="D101" s="21"/>
      <c r="E101" s="21"/>
      <c r="F101" s="21"/>
      <c r="G101" s="21"/>
      <c r="H101" s="21">
        <f>220000+120000</f>
        <v>340000</v>
      </c>
      <c r="I101" s="93"/>
      <c r="L101">
        <f t="shared" si="24"/>
        <v>340</v>
      </c>
    </row>
    <row r="102" spans="2:12" ht="12.75">
      <c r="B102" s="13" t="s">
        <v>445</v>
      </c>
      <c r="C102" s="21"/>
      <c r="D102" s="21"/>
      <c r="E102" s="21"/>
      <c r="F102" s="21"/>
      <c r="G102" s="21"/>
      <c r="H102" s="21">
        <f>208000+141000</f>
        <v>349000</v>
      </c>
      <c r="I102" s="2" t="s">
        <v>284</v>
      </c>
      <c r="L102">
        <f t="shared" si="24"/>
        <v>349</v>
      </c>
    </row>
    <row r="103" spans="2:12" ht="12.75">
      <c r="B103" s="13" t="s">
        <v>280</v>
      </c>
      <c r="C103" s="21"/>
      <c r="D103" s="21"/>
      <c r="E103" s="21"/>
      <c r="F103" s="21"/>
      <c r="G103" s="21"/>
      <c r="H103" s="21">
        <v>145000</v>
      </c>
      <c r="I103" s="93"/>
      <c r="L103">
        <f t="shared" si="24"/>
        <v>145</v>
      </c>
    </row>
    <row r="104" spans="2:12" ht="12.75">
      <c r="B104" s="13" t="s">
        <v>281</v>
      </c>
      <c r="C104" s="21"/>
      <c r="D104" s="21"/>
      <c r="E104" s="21"/>
      <c r="F104" s="21"/>
      <c r="G104" s="21"/>
      <c r="H104" s="21">
        <f>581000+25000</f>
        <v>606000</v>
      </c>
      <c r="I104" s="93"/>
      <c r="L104">
        <f t="shared" si="24"/>
        <v>606</v>
      </c>
    </row>
    <row r="105" spans="2:12" ht="12.75">
      <c r="B105" s="13" t="s">
        <v>282</v>
      </c>
      <c r="C105" s="21"/>
      <c r="D105" s="21"/>
      <c r="E105" s="21"/>
      <c r="F105" s="21"/>
      <c r="G105" s="21"/>
      <c r="H105" s="21">
        <v>127000</v>
      </c>
      <c r="I105" s="93"/>
      <c r="L105">
        <f t="shared" si="24"/>
        <v>127</v>
      </c>
    </row>
    <row r="106" spans="2:12" ht="12.75">
      <c r="B106" s="13" t="s">
        <v>283</v>
      </c>
      <c r="C106" s="21"/>
      <c r="D106" s="21"/>
      <c r="E106" s="21"/>
      <c r="F106" s="21"/>
      <c r="G106" s="21"/>
      <c r="H106" s="21">
        <v>0</v>
      </c>
      <c r="I106" s="93"/>
      <c r="L106">
        <f t="shared" si="24"/>
        <v>0</v>
      </c>
    </row>
    <row r="107" ht="12.75">
      <c r="I107" s="93"/>
    </row>
    <row r="108" ht="12.75">
      <c r="I108" s="93"/>
    </row>
    <row r="109" ht="12.75">
      <c r="I109" s="93"/>
    </row>
    <row r="110" ht="12.75">
      <c r="I110" s="93"/>
    </row>
    <row r="111" ht="12.75">
      <c r="I111" s="93"/>
    </row>
    <row r="112" ht="12.75">
      <c r="I112" s="93"/>
    </row>
    <row r="113" ht="12.75">
      <c r="I113" s="93"/>
    </row>
    <row r="114" ht="12.75">
      <c r="I114" s="93"/>
    </row>
    <row r="115" ht="12.75">
      <c r="I115" s="93"/>
    </row>
  </sheetData>
  <printOptions/>
  <pageMargins left="0.7874015748031497" right="0.7874015748031497" top="0.54" bottom="0.66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5"/>
  <sheetViews>
    <sheetView workbookViewId="0" topLeftCell="F192">
      <selection activeCell="I142" sqref="I142:I195"/>
    </sheetView>
  </sheetViews>
  <sheetFormatPr defaultColWidth="9.00390625" defaultRowHeight="12.75"/>
  <cols>
    <col min="1" max="2" width="3.125" style="12" bestFit="1" customWidth="1"/>
    <col min="3" max="3" width="2.75390625" style="12" bestFit="1" customWidth="1"/>
    <col min="4" max="4" width="3.75390625" style="12" bestFit="1" customWidth="1"/>
    <col min="5" max="5" width="46.75390625" style="2" bestFit="1" customWidth="1"/>
    <col min="6" max="6" width="11.125" style="0" bestFit="1" customWidth="1"/>
    <col min="7" max="8" width="11.125" style="0" hidden="1" customWidth="1"/>
    <col min="9" max="9" width="11.125" style="37" bestFit="1" customWidth="1"/>
    <col min="10" max="10" width="5.25390625" style="2" hidden="1" customWidth="1"/>
    <col min="11" max="12" width="10.125" style="0" hidden="1" customWidth="1"/>
    <col min="13" max="13" width="0" style="0" hidden="1" customWidth="1"/>
    <col min="14" max="14" width="11.00390625" style="0" hidden="1" customWidth="1"/>
    <col min="15" max="15" width="11.75390625" style="92" customWidth="1"/>
    <col min="16" max="16" width="11.125" style="0" bestFit="1" customWidth="1"/>
  </cols>
  <sheetData>
    <row r="1" spans="2:5" ht="18">
      <c r="B1" s="11"/>
      <c r="E1" s="9" t="s">
        <v>496</v>
      </c>
    </row>
    <row r="2" spans="2:5" ht="12.75">
      <c r="B2" s="11"/>
      <c r="E2" s="10"/>
    </row>
    <row r="3" spans="1:5" ht="12.75">
      <c r="A3" s="53" t="s">
        <v>461</v>
      </c>
      <c r="B3" s="48" t="s">
        <v>462</v>
      </c>
      <c r="C3"/>
      <c r="D3"/>
      <c r="E3" s="7" t="s">
        <v>220</v>
      </c>
    </row>
    <row r="4" spans="1:9" ht="12.75">
      <c r="A4" s="53" t="s">
        <v>463</v>
      </c>
      <c r="B4" s="48" t="s">
        <v>464</v>
      </c>
      <c r="E4" s="37" t="s">
        <v>164</v>
      </c>
      <c r="F4" s="49">
        <v>0.025</v>
      </c>
      <c r="G4" s="38"/>
      <c r="H4" s="38"/>
      <c r="I4" s="55"/>
    </row>
    <row r="5" spans="1:9" ht="12.75">
      <c r="A5" s="37"/>
      <c r="E5" s="37" t="s">
        <v>165</v>
      </c>
      <c r="F5" s="49">
        <v>0.039</v>
      </c>
      <c r="G5" s="38"/>
      <c r="H5" s="38"/>
      <c r="I5" s="55"/>
    </row>
    <row r="6" spans="1:11" ht="12.75">
      <c r="A6" s="24" t="s">
        <v>20</v>
      </c>
      <c r="B6" s="25" t="s">
        <v>21</v>
      </c>
      <c r="C6" s="26"/>
      <c r="D6" s="50" t="s">
        <v>200</v>
      </c>
      <c r="E6" s="13" t="s">
        <v>126</v>
      </c>
      <c r="F6" s="59" t="s">
        <v>162</v>
      </c>
      <c r="G6" s="60" t="s">
        <v>257</v>
      </c>
      <c r="H6" s="59" t="s">
        <v>199</v>
      </c>
      <c r="I6" s="97" t="str">
        <f>Príjmy!$H$6</f>
        <v>2006 schv.</v>
      </c>
      <c r="J6" s="5"/>
      <c r="K6" s="60" t="s">
        <v>258</v>
      </c>
    </row>
    <row r="7" spans="1:17" s="6" customFormat="1" ht="12.75">
      <c r="A7" s="27" t="s">
        <v>22</v>
      </c>
      <c r="B7" s="28" t="s">
        <v>127</v>
      </c>
      <c r="C7" s="29" t="s">
        <v>23</v>
      </c>
      <c r="D7" s="51"/>
      <c r="E7" s="15" t="s">
        <v>24</v>
      </c>
      <c r="F7" s="16">
        <f>SUM(F8:F32)</f>
        <v>25126000</v>
      </c>
      <c r="G7" s="16">
        <f>SUM(G8:G32)</f>
        <v>25301000</v>
      </c>
      <c r="H7" s="16">
        <f>SUM(H8:H32)</f>
        <v>25456000</v>
      </c>
      <c r="I7" s="16">
        <f>SUM(I8:I32)</f>
        <v>26816000</v>
      </c>
      <c r="J7" s="36"/>
      <c r="K7" s="5"/>
      <c r="L7" s="5"/>
      <c r="O7" s="94"/>
      <c r="P7" s="1"/>
      <c r="Q7" s="5"/>
    </row>
    <row r="8" spans="1:17" ht="12.75">
      <c r="A8" s="24" t="s">
        <v>128</v>
      </c>
      <c r="B8" s="25" t="s">
        <v>129</v>
      </c>
      <c r="C8" s="26" t="s">
        <v>128</v>
      </c>
      <c r="D8" s="50"/>
      <c r="E8" s="13" t="s">
        <v>25</v>
      </c>
      <c r="F8" s="19">
        <v>150000</v>
      </c>
      <c r="G8" s="19">
        <v>150000</v>
      </c>
      <c r="H8" s="19">
        <v>200000</v>
      </c>
      <c r="I8" s="19">
        <v>150000</v>
      </c>
      <c r="J8" s="4" t="s">
        <v>183</v>
      </c>
      <c r="K8" s="1" t="s">
        <v>166</v>
      </c>
      <c r="L8" s="1">
        <v>0</v>
      </c>
      <c r="P8" s="1"/>
      <c r="Q8" s="5"/>
    </row>
    <row r="9" spans="1:17" ht="12.75">
      <c r="A9" s="24" t="s">
        <v>128</v>
      </c>
      <c r="B9" s="25" t="s">
        <v>129</v>
      </c>
      <c r="C9" s="26" t="s">
        <v>130</v>
      </c>
      <c r="D9" s="50"/>
      <c r="E9" s="13" t="s">
        <v>367</v>
      </c>
      <c r="F9" s="19">
        <v>200000</v>
      </c>
      <c r="G9" s="19">
        <v>200000</v>
      </c>
      <c r="H9" s="19"/>
      <c r="I9" s="33">
        <v>150000</v>
      </c>
      <c r="J9" s="4"/>
      <c r="K9" s="1"/>
      <c r="L9" s="1"/>
      <c r="P9" s="1"/>
      <c r="Q9" s="5"/>
    </row>
    <row r="10" spans="1:17" ht="12.75">
      <c r="A10" s="24" t="s">
        <v>130</v>
      </c>
      <c r="B10" s="25">
        <v>20</v>
      </c>
      <c r="C10" s="26" t="s">
        <v>129</v>
      </c>
      <c r="D10" s="50"/>
      <c r="E10" s="13" t="s">
        <v>465</v>
      </c>
      <c r="F10" s="19">
        <v>15487000</v>
      </c>
      <c r="G10" s="19">
        <v>15500000</v>
      </c>
      <c r="H10" s="19">
        <v>15800000</v>
      </c>
      <c r="I10" s="33">
        <f>17350000-125000-603000</f>
        <v>16622000</v>
      </c>
      <c r="J10" s="4" t="s">
        <v>183</v>
      </c>
      <c r="K10" s="8" t="s">
        <v>184</v>
      </c>
      <c r="L10" s="8">
        <f>ROUND(F10*(F$4+F$5),-3)</f>
        <v>991000</v>
      </c>
      <c r="M10" s="1"/>
      <c r="N10" s="1"/>
      <c r="P10" s="1"/>
      <c r="Q10" s="5"/>
    </row>
    <row r="11" spans="1:17" ht="12.75">
      <c r="A11" s="24" t="s">
        <v>130</v>
      </c>
      <c r="B11" s="25" t="s">
        <v>434</v>
      </c>
      <c r="C11" s="26" t="s">
        <v>129</v>
      </c>
      <c r="D11" s="50"/>
      <c r="E11" s="13" t="s">
        <v>435</v>
      </c>
      <c r="F11" s="19"/>
      <c r="G11" s="19"/>
      <c r="H11" s="19"/>
      <c r="I11" s="33">
        <v>300000</v>
      </c>
      <c r="J11" s="4"/>
      <c r="K11" s="8"/>
      <c r="L11" s="8"/>
      <c r="M11" s="1"/>
      <c r="N11" s="1"/>
      <c r="P11" s="1"/>
      <c r="Q11" s="5"/>
    </row>
    <row r="12" spans="1:17" ht="12.75">
      <c r="A12" s="24" t="s">
        <v>130</v>
      </c>
      <c r="B12" s="25">
        <v>80</v>
      </c>
      <c r="C12" s="26" t="s">
        <v>129</v>
      </c>
      <c r="D12" s="50"/>
      <c r="E12" s="13" t="s">
        <v>26</v>
      </c>
      <c r="F12" s="19">
        <v>70000</v>
      </c>
      <c r="G12" s="19">
        <v>70000</v>
      </c>
      <c r="H12" s="19">
        <v>75000</v>
      </c>
      <c r="I12" s="33">
        <v>40000</v>
      </c>
      <c r="J12" s="4" t="s">
        <v>183</v>
      </c>
      <c r="K12" s="8" t="s">
        <v>170</v>
      </c>
      <c r="L12" s="8">
        <f aca="true" t="shared" si="0" ref="L12:L17">ROUND(F12*(F$4),-3)</f>
        <v>2000</v>
      </c>
      <c r="P12" s="1"/>
      <c r="Q12" s="5"/>
    </row>
    <row r="13" spans="1:17" ht="12.75">
      <c r="A13" s="24">
        <v>10</v>
      </c>
      <c r="B13" s="25" t="s">
        <v>129</v>
      </c>
      <c r="C13" s="26" t="s">
        <v>129</v>
      </c>
      <c r="D13" s="50"/>
      <c r="E13" s="13" t="s">
        <v>27</v>
      </c>
      <c r="F13" s="19">
        <v>20000</v>
      </c>
      <c r="G13" s="19">
        <v>20000</v>
      </c>
      <c r="H13" s="19">
        <v>20000</v>
      </c>
      <c r="I13" s="33">
        <v>210000</v>
      </c>
      <c r="J13" s="4" t="s">
        <v>183</v>
      </c>
      <c r="K13" s="8" t="s">
        <v>170</v>
      </c>
      <c r="L13" s="8">
        <f t="shared" si="0"/>
        <v>1000</v>
      </c>
      <c r="P13" s="1"/>
      <c r="Q13" s="5"/>
    </row>
    <row r="14" spans="1:17" ht="12.75">
      <c r="A14" s="24">
        <v>20</v>
      </c>
      <c r="B14" s="25" t="s">
        <v>129</v>
      </c>
      <c r="C14" s="26" t="s">
        <v>129</v>
      </c>
      <c r="D14" s="50"/>
      <c r="E14" s="13" t="s">
        <v>28</v>
      </c>
      <c r="F14" s="19">
        <v>345000</v>
      </c>
      <c r="G14" s="19">
        <v>345000</v>
      </c>
      <c r="H14" s="19">
        <v>345000</v>
      </c>
      <c r="I14" s="33">
        <v>350000</v>
      </c>
      <c r="J14" s="4" t="s">
        <v>183</v>
      </c>
      <c r="K14" s="8" t="s">
        <v>170</v>
      </c>
      <c r="L14" s="8">
        <f t="shared" si="0"/>
        <v>9000</v>
      </c>
      <c r="P14" s="1"/>
      <c r="Q14" s="5"/>
    </row>
    <row r="15" spans="1:17" ht="12.75">
      <c r="A15" s="24">
        <v>30</v>
      </c>
      <c r="B15" s="25">
        <v>20</v>
      </c>
      <c r="C15" s="26" t="s">
        <v>129</v>
      </c>
      <c r="D15" s="50"/>
      <c r="E15" s="13" t="s">
        <v>29</v>
      </c>
      <c r="F15" s="19">
        <v>312000</v>
      </c>
      <c r="G15" s="19">
        <f>F15+162000+21000</f>
        <v>495000</v>
      </c>
      <c r="H15" s="19">
        <f>G15</f>
        <v>495000</v>
      </c>
      <c r="I15" s="33">
        <v>0</v>
      </c>
      <c r="J15" s="4" t="s">
        <v>183</v>
      </c>
      <c r="K15" s="8" t="s">
        <v>184</v>
      </c>
      <c r="L15" s="8">
        <f>ROUND(F15*(F$4+F$5),-3)</f>
        <v>20000</v>
      </c>
      <c r="P15" s="1"/>
      <c r="Q15" s="5"/>
    </row>
    <row r="16" spans="1:17" ht="12.75">
      <c r="A16" s="24">
        <v>30</v>
      </c>
      <c r="B16" s="25">
        <v>20</v>
      </c>
      <c r="C16" s="26" t="s">
        <v>128</v>
      </c>
      <c r="D16" s="50"/>
      <c r="E16" s="13" t="s">
        <v>30</v>
      </c>
      <c r="F16" s="19">
        <v>145000</v>
      </c>
      <c r="G16" s="19">
        <v>25000</v>
      </c>
      <c r="H16" s="19">
        <v>25000</v>
      </c>
      <c r="I16" s="33">
        <v>200000</v>
      </c>
      <c r="J16" s="4" t="s">
        <v>183</v>
      </c>
      <c r="K16" s="8" t="s">
        <v>170</v>
      </c>
      <c r="L16" s="8">
        <f t="shared" si="0"/>
        <v>4000</v>
      </c>
      <c r="P16" s="1"/>
      <c r="Q16" s="5"/>
    </row>
    <row r="17" spans="1:17" ht="12.75">
      <c r="A17" s="24">
        <v>30</v>
      </c>
      <c r="B17" s="25">
        <v>20</v>
      </c>
      <c r="C17" s="26" t="s">
        <v>130</v>
      </c>
      <c r="D17" s="50"/>
      <c r="E17" s="13" t="s">
        <v>31</v>
      </c>
      <c r="F17" s="19">
        <v>180000</v>
      </c>
      <c r="G17" s="19">
        <v>185000</v>
      </c>
      <c r="H17" s="19">
        <v>185000</v>
      </c>
      <c r="I17" s="33">
        <v>500000</v>
      </c>
      <c r="J17" s="4" t="s">
        <v>183</v>
      </c>
      <c r="K17" s="8" t="s">
        <v>170</v>
      </c>
      <c r="L17" s="8">
        <f t="shared" si="0"/>
        <v>5000</v>
      </c>
      <c r="P17" s="1"/>
      <c r="Q17" s="5"/>
    </row>
    <row r="18" spans="1:17" ht="12.75">
      <c r="A18" s="24">
        <v>30</v>
      </c>
      <c r="B18" s="25">
        <v>20</v>
      </c>
      <c r="C18" s="26" t="s">
        <v>131</v>
      </c>
      <c r="D18" s="50"/>
      <c r="E18" s="13" t="s">
        <v>32</v>
      </c>
      <c r="F18" s="19">
        <v>15000</v>
      </c>
      <c r="G18" s="19">
        <v>0</v>
      </c>
      <c r="H18" s="19">
        <v>0</v>
      </c>
      <c r="I18" s="33">
        <v>0</v>
      </c>
      <c r="J18" s="4"/>
      <c r="K18" s="1" t="s">
        <v>185</v>
      </c>
      <c r="L18" s="1"/>
      <c r="N18" s="1">
        <v>-15000</v>
      </c>
      <c r="P18" s="1"/>
      <c r="Q18" s="5"/>
    </row>
    <row r="19" spans="1:17" ht="12.75">
      <c r="A19" s="24">
        <v>30</v>
      </c>
      <c r="B19" s="25">
        <v>90</v>
      </c>
      <c r="C19" s="26">
        <v>10</v>
      </c>
      <c r="D19" s="50"/>
      <c r="E19" s="13" t="s">
        <v>34</v>
      </c>
      <c r="F19" s="19">
        <v>1380000</v>
      </c>
      <c r="G19" s="19">
        <v>1380000</v>
      </c>
      <c r="H19" s="19">
        <v>1380000</v>
      </c>
      <c r="I19" s="33">
        <v>1420000</v>
      </c>
      <c r="J19" s="4" t="s">
        <v>180</v>
      </c>
      <c r="P19" s="1"/>
      <c r="Q19" s="5"/>
    </row>
    <row r="20" spans="1:17" ht="12.75">
      <c r="A20" s="24">
        <v>30</v>
      </c>
      <c r="B20" s="25">
        <v>90</v>
      </c>
      <c r="C20" s="26">
        <v>20</v>
      </c>
      <c r="D20" s="50"/>
      <c r="E20" s="13" t="s">
        <v>35</v>
      </c>
      <c r="F20" s="19">
        <v>274000</v>
      </c>
      <c r="G20" s="19">
        <v>274000</v>
      </c>
      <c r="H20" s="19">
        <v>274000</v>
      </c>
      <c r="I20" s="33">
        <v>320000</v>
      </c>
      <c r="J20" s="4" t="s">
        <v>180</v>
      </c>
      <c r="P20" s="1"/>
      <c r="Q20" s="5"/>
    </row>
    <row r="21" spans="1:17" ht="12.75">
      <c r="A21" s="24">
        <v>40</v>
      </c>
      <c r="B21" s="25">
        <v>10</v>
      </c>
      <c r="C21" s="26" t="s">
        <v>130</v>
      </c>
      <c r="D21" s="50"/>
      <c r="E21" s="13" t="s">
        <v>36</v>
      </c>
      <c r="F21" s="19">
        <v>190000</v>
      </c>
      <c r="G21" s="19">
        <v>0</v>
      </c>
      <c r="H21" s="19">
        <v>0</v>
      </c>
      <c r="I21" s="33">
        <v>0</v>
      </c>
      <c r="J21" s="4" t="s">
        <v>186</v>
      </c>
      <c r="P21" s="1"/>
      <c r="Q21" s="5"/>
    </row>
    <row r="22" spans="1:17" ht="12.75">
      <c r="A22" s="24">
        <v>40</v>
      </c>
      <c r="B22" s="25">
        <v>10</v>
      </c>
      <c r="C22" s="26">
        <v>10</v>
      </c>
      <c r="D22" s="50"/>
      <c r="E22" s="13" t="s">
        <v>37</v>
      </c>
      <c r="F22" s="19">
        <v>150000</v>
      </c>
      <c r="G22" s="19">
        <v>0</v>
      </c>
      <c r="H22" s="19">
        <v>0</v>
      </c>
      <c r="I22" s="33">
        <v>0</v>
      </c>
      <c r="J22" s="4" t="s">
        <v>187</v>
      </c>
      <c r="P22" s="1"/>
      <c r="Q22" s="5"/>
    </row>
    <row r="23" spans="1:17" ht="12.75">
      <c r="A23" s="24" t="s">
        <v>160</v>
      </c>
      <c r="B23" s="25" t="s">
        <v>349</v>
      </c>
      <c r="C23" s="26" t="s">
        <v>128</v>
      </c>
      <c r="D23" s="50" t="s">
        <v>209</v>
      </c>
      <c r="E23" s="13" t="s">
        <v>210</v>
      </c>
      <c r="F23" s="19"/>
      <c r="G23" s="19">
        <v>370000</v>
      </c>
      <c r="H23" s="19">
        <v>370000</v>
      </c>
      <c r="I23" s="33">
        <v>370000</v>
      </c>
      <c r="J23" s="4"/>
      <c r="O23" s="92" t="s">
        <v>238</v>
      </c>
      <c r="P23" s="1"/>
      <c r="Q23" s="5"/>
    </row>
    <row r="24" spans="1:17" ht="12.75">
      <c r="A24" s="24">
        <v>40</v>
      </c>
      <c r="B24" s="25">
        <v>20</v>
      </c>
      <c r="C24" s="26" t="s">
        <v>129</v>
      </c>
      <c r="D24" s="50"/>
      <c r="E24" s="13" t="s">
        <v>39</v>
      </c>
      <c r="F24" s="19">
        <v>567000</v>
      </c>
      <c r="G24" s="19">
        <v>580000</v>
      </c>
      <c r="H24" s="19">
        <v>580000</v>
      </c>
      <c r="I24" s="33">
        <v>395000</v>
      </c>
      <c r="J24" s="4" t="s">
        <v>183</v>
      </c>
      <c r="K24" s="8" t="s">
        <v>170</v>
      </c>
      <c r="L24" s="8">
        <f>ROUND(F24*(F$4),-3)</f>
        <v>14000</v>
      </c>
      <c r="P24" s="1"/>
      <c r="Q24" s="5"/>
    </row>
    <row r="25" spans="1:17" ht="12.75">
      <c r="A25" s="24">
        <v>40</v>
      </c>
      <c r="B25" s="25">
        <v>30</v>
      </c>
      <c r="C25" s="26" t="s">
        <v>129</v>
      </c>
      <c r="D25" s="50"/>
      <c r="E25" s="13" t="s">
        <v>40</v>
      </c>
      <c r="F25" s="19">
        <v>215000</v>
      </c>
      <c r="G25" s="19">
        <v>220000</v>
      </c>
      <c r="H25" s="19">
        <v>220000</v>
      </c>
      <c r="I25" s="33">
        <v>179000</v>
      </c>
      <c r="J25" s="4" t="s">
        <v>183</v>
      </c>
      <c r="K25" s="8" t="s">
        <v>170</v>
      </c>
      <c r="L25" s="8">
        <f>ROUND(F25*(F$4),-3)</f>
        <v>5000</v>
      </c>
      <c r="P25" s="1"/>
      <c r="Q25" s="5"/>
    </row>
    <row r="26" spans="1:17" ht="12.75">
      <c r="A26" s="24">
        <v>60</v>
      </c>
      <c r="B26" s="25">
        <v>40</v>
      </c>
      <c r="C26" s="26">
        <v>10</v>
      </c>
      <c r="D26" s="50"/>
      <c r="E26" s="13" t="s">
        <v>43</v>
      </c>
      <c r="F26" s="19">
        <f>3884000-520000+70000</f>
        <v>3434000</v>
      </c>
      <c r="G26" s="19">
        <v>3500000</v>
      </c>
      <c r="H26" s="19">
        <v>3500000</v>
      </c>
      <c r="I26" s="33">
        <v>3584000</v>
      </c>
      <c r="J26" s="4" t="s">
        <v>183</v>
      </c>
      <c r="K26" s="8" t="s">
        <v>170</v>
      </c>
      <c r="L26" s="8">
        <f>ROUND(F26*(F$4),-3)</f>
        <v>86000</v>
      </c>
      <c r="P26" s="1"/>
      <c r="Q26" s="5"/>
    </row>
    <row r="27" spans="1:17" ht="12.75">
      <c r="A27" s="24">
        <v>60</v>
      </c>
      <c r="B27" s="25">
        <v>40</v>
      </c>
      <c r="C27" s="26">
        <v>70</v>
      </c>
      <c r="D27" s="50"/>
      <c r="E27" s="13" t="s">
        <v>44</v>
      </c>
      <c r="F27" s="19">
        <v>832000</v>
      </c>
      <c r="G27" s="19">
        <v>832000</v>
      </c>
      <c r="H27" s="19">
        <v>832000</v>
      </c>
      <c r="I27" s="33">
        <v>832000</v>
      </c>
      <c r="J27" s="4" t="s">
        <v>180</v>
      </c>
      <c r="P27" s="1"/>
      <c r="Q27" s="5"/>
    </row>
    <row r="28" spans="1:17" ht="12.75">
      <c r="A28" s="24">
        <v>70</v>
      </c>
      <c r="B28" s="25" t="s">
        <v>129</v>
      </c>
      <c r="C28" s="26" t="s">
        <v>129</v>
      </c>
      <c r="D28" s="50"/>
      <c r="E28" s="13" t="s">
        <v>45</v>
      </c>
      <c r="F28" s="19">
        <v>552000</v>
      </c>
      <c r="G28" s="19">
        <v>550000</v>
      </c>
      <c r="H28" s="19">
        <v>550000</v>
      </c>
      <c r="I28" s="33">
        <v>554000</v>
      </c>
      <c r="J28" s="4" t="s">
        <v>183</v>
      </c>
      <c r="K28" s="8" t="s">
        <v>170</v>
      </c>
      <c r="L28" s="8">
        <f>ROUND(F28*(F$4),-3)</f>
        <v>14000</v>
      </c>
      <c r="P28" s="1"/>
      <c r="Q28" s="5"/>
    </row>
    <row r="29" spans="1:17" ht="12.75">
      <c r="A29" s="24">
        <v>70</v>
      </c>
      <c r="B29" s="25" t="s">
        <v>129</v>
      </c>
      <c r="C29" s="26" t="s">
        <v>128</v>
      </c>
      <c r="D29" s="50"/>
      <c r="E29" s="13" t="s">
        <v>46</v>
      </c>
      <c r="F29" s="19">
        <v>30000</v>
      </c>
      <c r="G29" s="19">
        <v>0</v>
      </c>
      <c r="H29" s="19">
        <v>0</v>
      </c>
      <c r="I29" s="33">
        <v>30000</v>
      </c>
      <c r="J29" s="4" t="s">
        <v>183</v>
      </c>
      <c r="K29" s="8" t="s">
        <v>170</v>
      </c>
      <c r="L29" s="8">
        <f>ROUND(F29*(F$4),-3)</f>
        <v>1000</v>
      </c>
      <c r="P29" s="1"/>
      <c r="Q29" s="5"/>
    </row>
    <row r="30" spans="1:17" ht="12.75">
      <c r="A30" s="24">
        <v>70</v>
      </c>
      <c r="B30" s="25" t="s">
        <v>129</v>
      </c>
      <c r="C30" s="26" t="s">
        <v>130</v>
      </c>
      <c r="D30" s="50"/>
      <c r="E30" s="13" t="s">
        <v>47</v>
      </c>
      <c r="F30" s="19">
        <v>139000</v>
      </c>
      <c r="G30" s="19">
        <v>150000</v>
      </c>
      <c r="H30" s="19">
        <v>150000</v>
      </c>
      <c r="I30" s="33">
        <v>150000</v>
      </c>
      <c r="J30" s="4" t="s">
        <v>183</v>
      </c>
      <c r="K30" s="8" t="s">
        <v>170</v>
      </c>
      <c r="L30" s="8">
        <f>ROUND(F30*(F$4),-3)</f>
        <v>3000</v>
      </c>
      <c r="P30" s="1"/>
      <c r="Q30" s="5"/>
    </row>
    <row r="31" spans="1:17" ht="12.75">
      <c r="A31" s="24">
        <v>90</v>
      </c>
      <c r="B31" s="25">
        <v>20</v>
      </c>
      <c r="C31" s="26" t="s">
        <v>129</v>
      </c>
      <c r="D31" s="50"/>
      <c r="E31" s="13" t="s">
        <v>48</v>
      </c>
      <c r="F31" s="19">
        <v>399000</v>
      </c>
      <c r="G31" s="19">
        <v>415000</v>
      </c>
      <c r="H31" s="19">
        <v>415000</v>
      </c>
      <c r="I31" s="33">
        <v>420000</v>
      </c>
      <c r="J31" s="4" t="s">
        <v>183</v>
      </c>
      <c r="K31" s="8" t="s">
        <v>184</v>
      </c>
      <c r="L31" s="8">
        <f>ROUND(F31*(F$4+F$5),-3)</f>
        <v>26000</v>
      </c>
      <c r="P31" s="1"/>
      <c r="Q31" s="5"/>
    </row>
    <row r="32" spans="1:17" ht="12.75">
      <c r="A32" s="24">
        <v>90</v>
      </c>
      <c r="B32" s="25">
        <v>30</v>
      </c>
      <c r="C32" s="26" t="s">
        <v>129</v>
      </c>
      <c r="D32" s="50" t="s">
        <v>226</v>
      </c>
      <c r="E32" s="13" t="s">
        <v>49</v>
      </c>
      <c r="F32" s="19">
        <v>40000</v>
      </c>
      <c r="G32" s="19">
        <v>40000</v>
      </c>
      <c r="H32" s="19">
        <v>40000</v>
      </c>
      <c r="I32" s="33">
        <v>40000</v>
      </c>
      <c r="J32" s="4" t="s">
        <v>187</v>
      </c>
      <c r="P32" s="1"/>
      <c r="Q32" s="5"/>
    </row>
    <row r="33" spans="1:17" s="6" customFormat="1" ht="12" customHeight="1">
      <c r="A33" s="27" t="s">
        <v>22</v>
      </c>
      <c r="B33" s="28" t="s">
        <v>132</v>
      </c>
      <c r="C33" s="29"/>
      <c r="D33" s="51"/>
      <c r="E33" s="15" t="s">
        <v>50</v>
      </c>
      <c r="F33" s="16">
        <f>SUM(F34:F35)</f>
        <v>185000</v>
      </c>
      <c r="G33" s="16">
        <f>SUM(G34:G35)</f>
        <v>190000</v>
      </c>
      <c r="H33" s="16">
        <f>SUM(H34:H35)</f>
        <v>190000</v>
      </c>
      <c r="I33" s="16">
        <f>SUM(I34:I35)</f>
        <v>190000</v>
      </c>
      <c r="J33" s="36"/>
      <c r="O33" s="94"/>
      <c r="P33" s="1"/>
      <c r="Q33" s="5"/>
    </row>
    <row r="34" spans="1:17" ht="12.75">
      <c r="A34" s="24">
        <v>10</v>
      </c>
      <c r="B34" s="25" t="s">
        <v>129</v>
      </c>
      <c r="C34" s="26" t="s">
        <v>129</v>
      </c>
      <c r="D34" s="50"/>
      <c r="E34" s="13" t="s">
        <v>27</v>
      </c>
      <c r="F34" s="19">
        <v>155000</v>
      </c>
      <c r="G34" s="19">
        <v>160000</v>
      </c>
      <c r="H34" s="19">
        <v>160000</v>
      </c>
      <c r="I34" s="33">
        <v>160000</v>
      </c>
      <c r="J34" s="4" t="s">
        <v>183</v>
      </c>
      <c r="K34" s="8" t="s">
        <v>170</v>
      </c>
      <c r="L34" s="8">
        <f>ROUND(F34*(F$4),-3)</f>
        <v>4000</v>
      </c>
      <c r="P34" s="1"/>
      <c r="Q34" s="5"/>
    </row>
    <row r="35" spans="1:17" ht="12.75">
      <c r="A35" s="24">
        <v>30</v>
      </c>
      <c r="B35" s="25">
        <v>20</v>
      </c>
      <c r="C35" s="26">
        <v>14</v>
      </c>
      <c r="D35" s="50"/>
      <c r="E35" s="13" t="s">
        <v>51</v>
      </c>
      <c r="F35" s="19">
        <v>30000</v>
      </c>
      <c r="G35" s="19">
        <v>30000</v>
      </c>
      <c r="H35" s="19">
        <v>30000</v>
      </c>
      <c r="I35" s="33">
        <v>30000</v>
      </c>
      <c r="J35" s="4" t="s">
        <v>183</v>
      </c>
      <c r="K35" s="8" t="s">
        <v>170</v>
      </c>
      <c r="L35" s="8">
        <f>ROUND(F35*(F$4),-3)</f>
        <v>1000</v>
      </c>
      <c r="P35" s="1"/>
      <c r="Q35" s="5"/>
    </row>
    <row r="36" spans="1:17" s="6" customFormat="1" ht="12.75">
      <c r="A36" s="27" t="s">
        <v>22</v>
      </c>
      <c r="B36" s="28" t="s">
        <v>52</v>
      </c>
      <c r="C36" s="29"/>
      <c r="D36" s="51"/>
      <c r="E36" s="15" t="s">
        <v>53</v>
      </c>
      <c r="F36" s="16">
        <f>SUM(F37:F42)</f>
        <v>2777000</v>
      </c>
      <c r="G36" s="16">
        <f>SUM(G37:G42)</f>
        <v>2478000</v>
      </c>
      <c r="H36" s="16">
        <f>SUM(H37:H42)</f>
        <v>2478000</v>
      </c>
      <c r="I36" s="16">
        <f>SUM(I37:I43)</f>
        <v>2656000</v>
      </c>
      <c r="J36" s="36"/>
      <c r="O36" s="94"/>
      <c r="P36" s="1"/>
      <c r="Q36" s="5"/>
    </row>
    <row r="37" spans="1:17" ht="12.75">
      <c r="A37" s="24">
        <v>10</v>
      </c>
      <c r="B37" s="25" t="s">
        <v>129</v>
      </c>
      <c r="C37" s="26" t="s">
        <v>128</v>
      </c>
      <c r="D37" s="50"/>
      <c r="E37" s="13" t="s">
        <v>247</v>
      </c>
      <c r="F37" s="19">
        <v>811000</v>
      </c>
      <c r="G37" s="19">
        <f>ROUND(13400000*0.045,-3)</f>
        <v>603000</v>
      </c>
      <c r="H37" s="19">
        <f>ROUND(13400000*0.045,-3)</f>
        <v>603000</v>
      </c>
      <c r="I37" s="33">
        <v>549000</v>
      </c>
      <c r="J37" s="4" t="s">
        <v>183</v>
      </c>
      <c r="P37" s="1"/>
      <c r="Q37" s="5"/>
    </row>
    <row r="38" spans="1:17" ht="12.75">
      <c r="A38" s="24">
        <v>10</v>
      </c>
      <c r="B38" s="25" t="s">
        <v>129</v>
      </c>
      <c r="C38" s="26" t="s">
        <v>131</v>
      </c>
      <c r="D38" s="50"/>
      <c r="E38" s="13" t="s">
        <v>248</v>
      </c>
      <c r="F38" s="19">
        <v>240000</v>
      </c>
      <c r="G38" s="19">
        <v>240000</v>
      </c>
      <c r="H38" s="19">
        <v>240000</v>
      </c>
      <c r="I38" s="33">
        <v>230000</v>
      </c>
      <c r="J38" s="4" t="s">
        <v>183</v>
      </c>
      <c r="P38" s="1"/>
      <c r="Q38" s="5"/>
    </row>
    <row r="39" spans="1:17" ht="12.75">
      <c r="A39" s="24">
        <v>10</v>
      </c>
      <c r="B39" s="25" t="s">
        <v>129</v>
      </c>
      <c r="C39" s="26" t="s">
        <v>133</v>
      </c>
      <c r="D39" s="50"/>
      <c r="E39" s="13" t="s">
        <v>249</v>
      </c>
      <c r="F39" s="19">
        <v>905000</v>
      </c>
      <c r="G39" s="19">
        <f>ROUND(14900000*0.045,-3)</f>
        <v>671000</v>
      </c>
      <c r="H39" s="19">
        <f>ROUND(14900000*0.045,-3)</f>
        <v>671000</v>
      </c>
      <c r="I39" s="33">
        <v>611000</v>
      </c>
      <c r="J39" s="4" t="s">
        <v>183</v>
      </c>
      <c r="P39" s="1"/>
      <c r="Q39" s="5"/>
    </row>
    <row r="40" spans="1:17" ht="12.75">
      <c r="A40" s="24">
        <v>10</v>
      </c>
      <c r="B40" s="25" t="s">
        <v>129</v>
      </c>
      <c r="C40" s="26" t="s">
        <v>134</v>
      </c>
      <c r="D40" s="50"/>
      <c r="E40" s="13" t="s">
        <v>250</v>
      </c>
      <c r="F40" s="19">
        <v>560000</v>
      </c>
      <c r="G40" s="19">
        <v>560000</v>
      </c>
      <c r="H40" s="19">
        <v>560000</v>
      </c>
      <c r="I40" s="33">
        <v>534000</v>
      </c>
      <c r="J40" s="4" t="s">
        <v>183</v>
      </c>
      <c r="P40" s="1"/>
      <c r="Q40" s="5"/>
    </row>
    <row r="41" spans="1:17" ht="12.75">
      <c r="A41" s="24">
        <v>10</v>
      </c>
      <c r="B41" s="25" t="s">
        <v>129</v>
      </c>
      <c r="C41" s="26" t="s">
        <v>138</v>
      </c>
      <c r="D41" s="50"/>
      <c r="E41" s="13" t="s">
        <v>251</v>
      </c>
      <c r="F41" s="19">
        <v>90000</v>
      </c>
      <c r="G41" s="19">
        <v>179000</v>
      </c>
      <c r="H41" s="19">
        <v>179000</v>
      </c>
      <c r="I41" s="33">
        <v>179000</v>
      </c>
      <c r="J41" s="4" t="s">
        <v>183</v>
      </c>
      <c r="P41" s="1"/>
      <c r="Q41" s="5"/>
    </row>
    <row r="42" spans="1:17" ht="12.75">
      <c r="A42" s="24">
        <v>10</v>
      </c>
      <c r="B42" s="25" t="s">
        <v>129</v>
      </c>
      <c r="C42" s="26" t="s">
        <v>140</v>
      </c>
      <c r="D42" s="50"/>
      <c r="E42" s="13" t="s">
        <v>482</v>
      </c>
      <c r="F42" s="19">
        <v>171000</v>
      </c>
      <c r="G42" s="19">
        <f>ROUND(5000000*0.045,-3)</f>
        <v>225000</v>
      </c>
      <c r="H42" s="19">
        <f>ROUND(5000000*0.045,-3)</f>
        <v>225000</v>
      </c>
      <c r="I42" s="33">
        <f>107000+223000</f>
        <v>330000</v>
      </c>
      <c r="J42" s="4"/>
      <c r="P42" s="1"/>
      <c r="Q42" s="5"/>
    </row>
    <row r="43" spans="1:17" ht="12.75">
      <c r="A43" s="24" t="s">
        <v>351</v>
      </c>
      <c r="B43" s="25" t="s">
        <v>129</v>
      </c>
      <c r="C43" s="26" t="s">
        <v>388</v>
      </c>
      <c r="D43" s="50"/>
      <c r="E43" s="13" t="s">
        <v>389</v>
      </c>
      <c r="F43" s="19"/>
      <c r="G43" s="19"/>
      <c r="H43" s="19"/>
      <c r="I43" s="33">
        <f>ROUND(20000000*0.01+9000000*0.01/4,-3)</f>
        <v>223000</v>
      </c>
      <c r="J43" s="4"/>
      <c r="P43" s="1"/>
      <c r="Q43" s="5"/>
    </row>
    <row r="44" spans="1:17" s="6" customFormat="1" ht="12.75">
      <c r="A44" s="27" t="s">
        <v>54</v>
      </c>
      <c r="B44" s="28" t="s">
        <v>55</v>
      </c>
      <c r="C44" s="29"/>
      <c r="D44" s="51"/>
      <c r="E44" s="15" t="s">
        <v>56</v>
      </c>
      <c r="F44" s="16">
        <f>F45</f>
        <v>88000</v>
      </c>
      <c r="G44" s="16">
        <f>G45</f>
        <v>88000</v>
      </c>
      <c r="H44" s="16">
        <f>H45</f>
        <v>88000</v>
      </c>
      <c r="I44" s="16">
        <f>I45</f>
        <v>20000</v>
      </c>
      <c r="J44" s="36"/>
      <c r="O44" s="94"/>
      <c r="P44" s="1"/>
      <c r="Q44" s="5"/>
    </row>
    <row r="45" spans="1:17" ht="12.75">
      <c r="A45" s="34">
        <v>60</v>
      </c>
      <c r="B45" s="31">
        <v>40</v>
      </c>
      <c r="C45" s="35">
        <v>60</v>
      </c>
      <c r="D45" s="52"/>
      <c r="E45" s="13" t="s">
        <v>57</v>
      </c>
      <c r="F45" s="19">
        <v>88000</v>
      </c>
      <c r="G45" s="19">
        <v>88000</v>
      </c>
      <c r="H45" s="19">
        <v>88000</v>
      </c>
      <c r="I45" s="33">
        <v>20000</v>
      </c>
      <c r="J45" s="4" t="s">
        <v>183</v>
      </c>
      <c r="K45" s="8" t="s">
        <v>170</v>
      </c>
      <c r="L45" s="8">
        <f>ROUND(F45*(F$4),-3)</f>
        <v>2000</v>
      </c>
      <c r="P45" s="1"/>
      <c r="Q45" s="5"/>
    </row>
    <row r="46" spans="1:17" s="6" customFormat="1" ht="12.75">
      <c r="A46" s="27" t="s">
        <v>58</v>
      </c>
      <c r="B46" s="28" t="s">
        <v>59</v>
      </c>
      <c r="C46" s="29"/>
      <c r="D46" s="51"/>
      <c r="E46" s="15" t="s">
        <v>60</v>
      </c>
      <c r="F46" s="16">
        <f>F47</f>
        <v>6782000</v>
      </c>
      <c r="G46" s="16">
        <f>G47</f>
        <v>7000000</v>
      </c>
      <c r="H46" s="16">
        <f>H47</f>
        <v>7100000</v>
      </c>
      <c r="I46" s="16">
        <f>I47</f>
        <v>7110000</v>
      </c>
      <c r="J46" s="36"/>
      <c r="O46" s="94"/>
      <c r="P46" s="1"/>
      <c r="Q46" s="5"/>
    </row>
    <row r="47" spans="1:17" ht="12.75">
      <c r="A47" s="34">
        <v>80</v>
      </c>
      <c r="B47" s="31" t="s">
        <v>129</v>
      </c>
      <c r="C47" s="35" t="s">
        <v>129</v>
      </c>
      <c r="D47" s="52"/>
      <c r="E47" s="13" t="s">
        <v>61</v>
      </c>
      <c r="F47" s="33">
        <v>6782000</v>
      </c>
      <c r="G47" s="33">
        <v>7000000</v>
      </c>
      <c r="H47" s="33">
        <v>7100000</v>
      </c>
      <c r="I47" s="33">
        <f>7200000-90000</f>
        <v>7110000</v>
      </c>
      <c r="J47" s="4" t="s">
        <v>183</v>
      </c>
      <c r="K47" s="8" t="s">
        <v>188</v>
      </c>
      <c r="L47" s="8">
        <f>ROUND(F47*(F$4+F$5/2),-3)</f>
        <v>302000</v>
      </c>
      <c r="O47" s="92" t="s">
        <v>252</v>
      </c>
      <c r="P47" s="1"/>
      <c r="Q47" s="5"/>
    </row>
    <row r="48" spans="1:17" s="6" customFormat="1" ht="12.75">
      <c r="A48" s="27" t="s">
        <v>58</v>
      </c>
      <c r="B48" s="28" t="s">
        <v>55</v>
      </c>
      <c r="C48" s="29"/>
      <c r="D48" s="51"/>
      <c r="E48" s="15" t="s">
        <v>62</v>
      </c>
      <c r="F48" s="16">
        <f>F49</f>
        <v>111000</v>
      </c>
      <c r="G48" s="16">
        <f>G49</f>
        <v>111000</v>
      </c>
      <c r="H48" s="16">
        <f>H49</f>
        <v>111000</v>
      </c>
      <c r="I48" s="16">
        <f>I49</f>
        <v>100000</v>
      </c>
      <c r="J48" s="36"/>
      <c r="O48" s="94"/>
      <c r="P48" s="1"/>
      <c r="Q48" s="5"/>
    </row>
    <row r="49" spans="1:17" ht="12.75">
      <c r="A49" s="34">
        <v>60</v>
      </c>
      <c r="B49" s="31">
        <v>40</v>
      </c>
      <c r="C49" s="35">
        <v>93</v>
      </c>
      <c r="D49" s="52"/>
      <c r="E49" s="13" t="s">
        <v>63</v>
      </c>
      <c r="F49" s="19">
        <v>111000</v>
      </c>
      <c r="G49" s="19">
        <v>111000</v>
      </c>
      <c r="H49" s="19">
        <v>111000</v>
      </c>
      <c r="I49" s="33">
        <v>100000</v>
      </c>
      <c r="J49" s="4" t="s">
        <v>183</v>
      </c>
      <c r="K49" s="8" t="s">
        <v>170</v>
      </c>
      <c r="L49" s="8">
        <f>ROUND(F49*(F$4),-3)</f>
        <v>3000</v>
      </c>
      <c r="P49" s="1"/>
      <c r="Q49" s="5"/>
    </row>
    <row r="50" spans="1:17" s="6" customFormat="1" ht="12.75">
      <c r="A50" s="27" t="s">
        <v>64</v>
      </c>
      <c r="B50" s="28" t="s">
        <v>135</v>
      </c>
      <c r="C50" s="29"/>
      <c r="D50" s="51"/>
      <c r="E50" s="15" t="s">
        <v>65</v>
      </c>
      <c r="F50" s="16">
        <f>F51</f>
        <v>300000</v>
      </c>
      <c r="G50" s="16">
        <v>300000</v>
      </c>
      <c r="H50" s="16">
        <f>H51</f>
        <v>160000</v>
      </c>
      <c r="I50" s="16">
        <f>SUM(I51:I53)</f>
        <v>18747000</v>
      </c>
      <c r="J50" s="36"/>
      <c r="O50" s="94"/>
      <c r="P50" s="1"/>
      <c r="Q50" s="5"/>
    </row>
    <row r="51" spans="1:17" ht="12.75">
      <c r="A51" s="24">
        <v>20</v>
      </c>
      <c r="B51" s="25">
        <v>30</v>
      </c>
      <c r="C51" s="26">
        <v>80</v>
      </c>
      <c r="D51" s="50"/>
      <c r="E51" s="13" t="s">
        <v>66</v>
      </c>
      <c r="F51" s="19">
        <v>300000</v>
      </c>
      <c r="G51" s="19">
        <v>150000</v>
      </c>
      <c r="H51" s="19">
        <v>160000</v>
      </c>
      <c r="I51" s="33">
        <v>200000</v>
      </c>
      <c r="J51" s="4" t="s">
        <v>183</v>
      </c>
      <c r="K51" s="8" t="s">
        <v>188</v>
      </c>
      <c r="L51" s="8">
        <f>ROUND(F51*(F$4+F$5/2),-3)</f>
        <v>13000</v>
      </c>
      <c r="P51" s="1"/>
      <c r="Q51" s="5"/>
    </row>
    <row r="52" spans="1:17" ht="12.75">
      <c r="A52" s="24" t="s">
        <v>142</v>
      </c>
      <c r="B52" s="25" t="s">
        <v>141</v>
      </c>
      <c r="C52" s="26" t="s">
        <v>359</v>
      </c>
      <c r="D52" s="50"/>
      <c r="E52" s="45" t="s">
        <v>218</v>
      </c>
      <c r="F52" s="19"/>
      <c r="G52" s="19">
        <v>150000</v>
      </c>
      <c r="H52" s="19">
        <v>150000</v>
      </c>
      <c r="I52" s="33">
        <v>200000</v>
      </c>
      <c r="J52" s="4"/>
      <c r="K52" s="8"/>
      <c r="L52" s="8"/>
      <c r="P52" s="1"/>
      <c r="Q52" s="5"/>
    </row>
    <row r="53" spans="1:17" ht="12.75">
      <c r="A53" s="34" t="s">
        <v>142</v>
      </c>
      <c r="B53" s="31" t="s">
        <v>141</v>
      </c>
      <c r="C53" s="35" t="s">
        <v>360</v>
      </c>
      <c r="D53" s="52"/>
      <c r="E53" s="45" t="s">
        <v>243</v>
      </c>
      <c r="F53" s="19"/>
      <c r="G53" s="19"/>
      <c r="H53" s="19"/>
      <c r="I53" s="33">
        <v>18347000</v>
      </c>
      <c r="J53" s="4"/>
      <c r="K53" s="8"/>
      <c r="L53" s="8"/>
      <c r="P53" s="1"/>
      <c r="Q53" s="5"/>
    </row>
    <row r="54" spans="1:17" s="6" customFormat="1" ht="12.75">
      <c r="A54" s="27" t="s">
        <v>64</v>
      </c>
      <c r="B54" s="28" t="s">
        <v>136</v>
      </c>
      <c r="C54" s="29"/>
      <c r="D54" s="51"/>
      <c r="E54" s="15" t="s">
        <v>67</v>
      </c>
      <c r="F54" s="16">
        <f>SUM(F55:F56)</f>
        <v>3450000</v>
      </c>
      <c r="G54" s="16">
        <f>SUM(G55:G56)</f>
        <v>3450000</v>
      </c>
      <c r="H54" s="16">
        <f>SUM(H55:H56)</f>
        <v>3700000</v>
      </c>
      <c r="I54" s="16">
        <f>SUM(I55:I56)</f>
        <v>4150000</v>
      </c>
      <c r="J54" s="36"/>
      <c r="O54" s="94"/>
      <c r="P54" s="1"/>
      <c r="Q54" s="5"/>
    </row>
    <row r="55" spans="1:17" ht="12.75">
      <c r="A55" s="24">
        <v>30</v>
      </c>
      <c r="B55" s="25" t="s">
        <v>129</v>
      </c>
      <c r="C55" s="26" t="s">
        <v>128</v>
      </c>
      <c r="D55" s="50"/>
      <c r="E55" s="13" t="s">
        <v>390</v>
      </c>
      <c r="F55" s="19">
        <v>700000</v>
      </c>
      <c r="G55" s="19">
        <v>700000</v>
      </c>
      <c r="H55" s="19">
        <v>700000</v>
      </c>
      <c r="I55" s="33">
        <v>650000</v>
      </c>
      <c r="J55" s="4" t="s">
        <v>183</v>
      </c>
      <c r="K55" s="8" t="s">
        <v>170</v>
      </c>
      <c r="L55" s="8">
        <f>ROUND(F55*(F$4),-3)</f>
        <v>18000</v>
      </c>
      <c r="P55" s="1"/>
      <c r="Q55" s="5"/>
    </row>
    <row r="56" spans="1:17" ht="12.75">
      <c r="A56" s="34">
        <v>30</v>
      </c>
      <c r="B56" s="31">
        <v>20</v>
      </c>
      <c r="C56" s="35">
        <v>13</v>
      </c>
      <c r="D56" s="52"/>
      <c r="E56" s="13" t="s">
        <v>68</v>
      </c>
      <c r="F56" s="19">
        <v>2750000</v>
      </c>
      <c r="G56" s="19">
        <v>2750000</v>
      </c>
      <c r="H56" s="19">
        <v>3000000</v>
      </c>
      <c r="I56" s="33">
        <v>3500000</v>
      </c>
      <c r="J56" s="4" t="s">
        <v>183</v>
      </c>
      <c r="K56" s="8" t="s">
        <v>170</v>
      </c>
      <c r="L56" s="8">
        <f>ROUND(F56*(F$4),-3)</f>
        <v>69000</v>
      </c>
      <c r="P56" s="1"/>
      <c r="Q56" s="5"/>
    </row>
    <row r="57" spans="1:17" s="6" customFormat="1" ht="12.75">
      <c r="A57" s="27" t="s">
        <v>64</v>
      </c>
      <c r="B57" s="28" t="s">
        <v>137</v>
      </c>
      <c r="C57" s="29"/>
      <c r="D57" s="51"/>
      <c r="E57" s="15" t="s">
        <v>69</v>
      </c>
      <c r="F57" s="16">
        <f>SUM(F58:F61)</f>
        <v>496000</v>
      </c>
      <c r="G57" s="16">
        <f>SUM(G58:G61)</f>
        <v>482000</v>
      </c>
      <c r="H57" s="16">
        <f>SUM(H58:H61)</f>
        <v>922000</v>
      </c>
      <c r="I57" s="16">
        <f>SUM(I58:I61)</f>
        <v>527000</v>
      </c>
      <c r="J57" s="36"/>
      <c r="O57" s="94"/>
      <c r="P57" s="1"/>
      <c r="Q57" s="5"/>
    </row>
    <row r="58" spans="1:17" ht="12.75">
      <c r="A58" s="24">
        <v>40</v>
      </c>
      <c r="B58" s="25">
        <v>11</v>
      </c>
      <c r="C58" s="26" t="s">
        <v>128</v>
      </c>
      <c r="D58" s="50"/>
      <c r="E58" s="13" t="s">
        <v>70</v>
      </c>
      <c r="F58" s="19">
        <v>66000</v>
      </c>
      <c r="G58" s="19">
        <v>0</v>
      </c>
      <c r="H58" s="19">
        <v>0</v>
      </c>
      <c r="I58" s="33">
        <v>0</v>
      </c>
      <c r="J58" s="4" t="s">
        <v>192</v>
      </c>
      <c r="K58" s="8" t="s">
        <v>170</v>
      </c>
      <c r="L58" s="8">
        <f>ROUND(N58*2*(F$4),-3)</f>
        <v>3000</v>
      </c>
      <c r="M58" t="s">
        <v>189</v>
      </c>
      <c r="N58" s="1">
        <f>F58</f>
        <v>66000</v>
      </c>
      <c r="P58" s="1"/>
      <c r="Q58" s="5"/>
    </row>
    <row r="59" spans="1:17" ht="12.75">
      <c r="A59" s="24" t="s">
        <v>160</v>
      </c>
      <c r="B59" s="25" t="s">
        <v>349</v>
      </c>
      <c r="C59" s="26" t="s">
        <v>130</v>
      </c>
      <c r="D59" s="50" t="s">
        <v>202</v>
      </c>
      <c r="E59" s="45" t="s">
        <v>207</v>
      </c>
      <c r="F59" s="46"/>
      <c r="G59" s="46">
        <v>42000</v>
      </c>
      <c r="H59" s="46">
        <v>42000</v>
      </c>
      <c r="I59" s="33">
        <v>42000</v>
      </c>
      <c r="J59" s="4"/>
      <c r="K59" s="8"/>
      <c r="L59" s="8"/>
      <c r="N59" s="1"/>
      <c r="O59" s="92" t="s">
        <v>208</v>
      </c>
      <c r="P59" s="1"/>
      <c r="Q59" s="5"/>
    </row>
    <row r="60" spans="1:17" ht="12.75">
      <c r="A60" s="34" t="s">
        <v>160</v>
      </c>
      <c r="B60" s="31" t="s">
        <v>350</v>
      </c>
      <c r="C60" s="35" t="s">
        <v>129</v>
      </c>
      <c r="D60" s="52" t="s">
        <v>227</v>
      </c>
      <c r="E60" s="13" t="s">
        <v>38</v>
      </c>
      <c r="F60" s="19">
        <v>430000</v>
      </c>
      <c r="G60" s="19">
        <v>440000</v>
      </c>
      <c r="H60" s="19">
        <v>440000</v>
      </c>
      <c r="I60" s="33">
        <v>285000</v>
      </c>
      <c r="J60" s="4" t="s">
        <v>183</v>
      </c>
      <c r="K60" s="8" t="s">
        <v>170</v>
      </c>
      <c r="L60" s="8">
        <f>ROUND(F60*(F$4),-3)</f>
        <v>11000</v>
      </c>
      <c r="P60" s="1"/>
      <c r="Q60" s="5"/>
    </row>
    <row r="61" spans="1:17" ht="12.75">
      <c r="A61" s="24" t="s">
        <v>160</v>
      </c>
      <c r="B61" s="25" t="s">
        <v>350</v>
      </c>
      <c r="C61" s="26" t="s">
        <v>128</v>
      </c>
      <c r="D61" s="50" t="s">
        <v>227</v>
      </c>
      <c r="E61" s="13" t="s">
        <v>392</v>
      </c>
      <c r="F61" s="19"/>
      <c r="G61" s="19"/>
      <c r="H61" s="19">
        <v>440000</v>
      </c>
      <c r="I61" s="33">
        <v>200000</v>
      </c>
      <c r="J61" s="4" t="s">
        <v>183</v>
      </c>
      <c r="K61" s="8" t="s">
        <v>170</v>
      </c>
      <c r="L61" s="8">
        <f>ROUND(F61*(F$4),-3)</f>
        <v>0</v>
      </c>
      <c r="P61" s="1"/>
      <c r="Q61" s="5"/>
    </row>
    <row r="62" spans="1:17" s="6" customFormat="1" ht="12.75">
      <c r="A62" s="27" t="s">
        <v>71</v>
      </c>
      <c r="B62" s="28" t="s">
        <v>59</v>
      </c>
      <c r="C62" s="29"/>
      <c r="D62" s="51"/>
      <c r="E62" s="15" t="s">
        <v>72</v>
      </c>
      <c r="F62" s="16">
        <f>SUM(F63:F65)</f>
        <v>14757000</v>
      </c>
      <c r="G62" s="16">
        <f>SUM(G63:G65)</f>
        <v>14797000</v>
      </c>
      <c r="H62" s="16">
        <f>SUM(H63:H65)</f>
        <v>14897000</v>
      </c>
      <c r="I62" s="16">
        <f>SUM(I63:I65)</f>
        <v>15800000</v>
      </c>
      <c r="J62" s="36"/>
      <c r="O62" s="94"/>
      <c r="P62" s="1"/>
      <c r="Q62" s="5"/>
    </row>
    <row r="63" spans="1:17" ht="12.75">
      <c r="A63" s="24">
        <v>30</v>
      </c>
      <c r="B63" s="25">
        <v>20</v>
      </c>
      <c r="C63" s="26">
        <v>12</v>
      </c>
      <c r="D63" s="50"/>
      <c r="E63" s="13" t="s">
        <v>73</v>
      </c>
      <c r="F63" s="19">
        <v>1600000</v>
      </c>
      <c r="G63" s="19">
        <v>1600000</v>
      </c>
      <c r="H63" s="19">
        <v>1700000</v>
      </c>
      <c r="I63" s="33">
        <v>1700000</v>
      </c>
      <c r="J63" s="4" t="s">
        <v>183</v>
      </c>
      <c r="K63" s="8" t="s">
        <v>170</v>
      </c>
      <c r="L63" s="8">
        <f>ROUND(F63*(F$4),-3)</f>
        <v>40000</v>
      </c>
      <c r="P63" s="1"/>
      <c r="Q63" s="5"/>
    </row>
    <row r="64" spans="1:17" ht="12.75">
      <c r="A64" s="24">
        <v>30</v>
      </c>
      <c r="B64" s="25">
        <v>20</v>
      </c>
      <c r="C64" s="26">
        <v>14</v>
      </c>
      <c r="D64" s="50"/>
      <c r="E64" s="13" t="s">
        <v>51</v>
      </c>
      <c r="F64" s="19">
        <v>12797000</v>
      </c>
      <c r="G64" s="19">
        <v>12797000</v>
      </c>
      <c r="H64" s="19">
        <v>12797000</v>
      </c>
      <c r="I64" s="33">
        <v>11600000</v>
      </c>
      <c r="J64" s="4" t="s">
        <v>183</v>
      </c>
      <c r="K64" s="1" t="s">
        <v>166</v>
      </c>
      <c r="L64" s="1">
        <v>0</v>
      </c>
      <c r="O64" s="92" t="s">
        <v>252</v>
      </c>
      <c r="P64" s="1"/>
      <c r="Q64" s="5"/>
    </row>
    <row r="65" spans="1:17" ht="12.75">
      <c r="A65" s="34" t="s">
        <v>141</v>
      </c>
      <c r="B65" s="31" t="s">
        <v>142</v>
      </c>
      <c r="C65" s="35" t="s">
        <v>143</v>
      </c>
      <c r="D65" s="52" t="s">
        <v>228</v>
      </c>
      <c r="E65" s="13" t="s">
        <v>144</v>
      </c>
      <c r="F65" s="19">
        <v>360000</v>
      </c>
      <c r="G65" s="19">
        <v>400000</v>
      </c>
      <c r="H65" s="19">
        <v>400000</v>
      </c>
      <c r="I65" s="33">
        <v>2500000</v>
      </c>
      <c r="J65" s="4" t="s">
        <v>183</v>
      </c>
      <c r="K65" s="8" t="s">
        <v>177</v>
      </c>
      <c r="L65" s="8">
        <f>ROUND(F65*(10%),-3)</f>
        <v>36000</v>
      </c>
      <c r="P65" s="1"/>
      <c r="Q65" s="5"/>
    </row>
    <row r="66" spans="1:17" s="6" customFormat="1" ht="12.75">
      <c r="A66" s="27" t="s">
        <v>71</v>
      </c>
      <c r="B66" s="28" t="s">
        <v>55</v>
      </c>
      <c r="C66" s="29"/>
      <c r="D66" s="51"/>
      <c r="E66" s="15" t="s">
        <v>74</v>
      </c>
      <c r="F66" s="16">
        <f>F67</f>
        <v>300000</v>
      </c>
      <c r="G66" s="16">
        <f>G67</f>
        <v>300000</v>
      </c>
      <c r="H66" s="16">
        <f>H67</f>
        <v>400000</v>
      </c>
      <c r="I66" s="16">
        <f>I67</f>
        <v>300000</v>
      </c>
      <c r="J66" s="36"/>
      <c r="O66" s="94"/>
      <c r="P66" s="1"/>
      <c r="Q66" s="5"/>
    </row>
    <row r="67" spans="1:17" ht="12.75">
      <c r="A67" s="34">
        <v>30</v>
      </c>
      <c r="B67" s="31">
        <v>20</v>
      </c>
      <c r="C67" s="35">
        <v>18</v>
      </c>
      <c r="D67" s="52"/>
      <c r="E67" s="13" t="s">
        <v>75</v>
      </c>
      <c r="F67" s="19">
        <v>300000</v>
      </c>
      <c r="G67" s="19">
        <v>300000</v>
      </c>
      <c r="H67" s="19">
        <v>400000</v>
      </c>
      <c r="I67" s="33">
        <v>300000</v>
      </c>
      <c r="J67" s="4" t="s">
        <v>183</v>
      </c>
      <c r="K67" s="8" t="s">
        <v>170</v>
      </c>
      <c r="L67" s="8">
        <f>ROUND(F67*(F$4),-3)</f>
        <v>8000</v>
      </c>
      <c r="P67" s="1"/>
      <c r="Q67" s="5"/>
    </row>
    <row r="68" spans="1:17" ht="12.75">
      <c r="A68" s="27" t="s">
        <v>71</v>
      </c>
      <c r="B68" s="28" t="s">
        <v>158</v>
      </c>
      <c r="C68" s="29"/>
      <c r="D68" s="51"/>
      <c r="E68" s="15" t="s">
        <v>530</v>
      </c>
      <c r="F68" s="16"/>
      <c r="G68" s="16">
        <f>SUM(G69:G74)</f>
        <v>7566000</v>
      </c>
      <c r="H68" s="16">
        <f>SUM(H69:H74)</f>
        <v>7766000</v>
      </c>
      <c r="I68" s="16">
        <f>I69</f>
        <v>200000</v>
      </c>
      <c r="J68" s="4"/>
      <c r="K68" s="8"/>
      <c r="L68" s="8"/>
      <c r="P68" s="1"/>
      <c r="Q68" s="5"/>
    </row>
    <row r="69" spans="1:17" ht="12.75">
      <c r="A69" s="24" t="s">
        <v>141</v>
      </c>
      <c r="B69" s="25" t="s">
        <v>434</v>
      </c>
      <c r="C69" s="26" t="s">
        <v>130</v>
      </c>
      <c r="D69" s="50"/>
      <c r="E69" s="13" t="s">
        <v>521</v>
      </c>
      <c r="F69" s="19"/>
      <c r="G69" s="19"/>
      <c r="H69" s="19"/>
      <c r="I69" s="33">
        <v>200000</v>
      </c>
      <c r="J69" s="4"/>
      <c r="K69" s="8"/>
      <c r="L69" s="8"/>
      <c r="P69" s="1"/>
      <c r="Q69" s="5"/>
    </row>
    <row r="70" spans="1:17" s="6" customFormat="1" ht="12.75">
      <c r="A70" s="27" t="s">
        <v>76</v>
      </c>
      <c r="B70" s="28" t="s">
        <v>55</v>
      </c>
      <c r="C70" s="29"/>
      <c r="D70" s="51"/>
      <c r="E70" s="15" t="s">
        <v>77</v>
      </c>
      <c r="F70" s="16">
        <f>SUM(F71:F76)</f>
        <v>5016000</v>
      </c>
      <c r="G70" s="16">
        <f>SUM(G71:G76)</f>
        <v>5016000</v>
      </c>
      <c r="H70" s="16">
        <f>SUM(H71:H76)</f>
        <v>5116000</v>
      </c>
      <c r="I70" s="16">
        <f>SUM(I71:I76)</f>
        <v>9006000</v>
      </c>
      <c r="J70" s="36"/>
      <c r="O70" s="94"/>
      <c r="P70" s="1"/>
      <c r="Q70" s="5"/>
    </row>
    <row r="71" spans="1:17" ht="12.75">
      <c r="A71" s="24">
        <v>30</v>
      </c>
      <c r="B71" s="25">
        <v>20</v>
      </c>
      <c r="C71" s="26">
        <v>16</v>
      </c>
      <c r="D71" s="50" t="s">
        <v>229</v>
      </c>
      <c r="E71" s="13" t="s">
        <v>78</v>
      </c>
      <c r="F71" s="19">
        <v>2550000</v>
      </c>
      <c r="G71" s="19">
        <v>2550000</v>
      </c>
      <c r="H71" s="19">
        <v>2550000</v>
      </c>
      <c r="I71" s="33">
        <v>2700000</v>
      </c>
      <c r="J71" s="4" t="s">
        <v>183</v>
      </c>
      <c r="K71" s="8" t="s">
        <v>170</v>
      </c>
      <c r="L71" s="8">
        <f>ROUND(F71*(F$4),-3)</f>
        <v>64000</v>
      </c>
      <c r="P71" s="1"/>
      <c r="Q71" s="5"/>
    </row>
    <row r="72" spans="1:17" ht="12.75">
      <c r="A72" s="24" t="s">
        <v>142</v>
      </c>
      <c r="B72" s="25" t="s">
        <v>141</v>
      </c>
      <c r="C72" s="26" t="s">
        <v>483</v>
      </c>
      <c r="D72" s="50"/>
      <c r="E72" s="13" t="s">
        <v>485</v>
      </c>
      <c r="F72" s="19">
        <v>0</v>
      </c>
      <c r="G72" s="19">
        <v>0</v>
      </c>
      <c r="H72" s="19"/>
      <c r="I72" s="33">
        <v>100000</v>
      </c>
      <c r="J72" s="4"/>
      <c r="K72" s="8"/>
      <c r="L72" s="8"/>
      <c r="P72" s="1"/>
      <c r="Q72" s="5"/>
    </row>
    <row r="73" spans="1:17" ht="12.75">
      <c r="A73" s="24" t="s">
        <v>141</v>
      </c>
      <c r="B73" s="25" t="s">
        <v>142</v>
      </c>
      <c r="C73" s="26" t="s">
        <v>130</v>
      </c>
      <c r="D73" s="50"/>
      <c r="E73" s="13" t="s">
        <v>484</v>
      </c>
      <c r="F73" s="19">
        <v>0</v>
      </c>
      <c r="G73" s="19">
        <v>0</v>
      </c>
      <c r="H73" s="19"/>
      <c r="I73" s="33">
        <v>100000</v>
      </c>
      <c r="J73" s="4"/>
      <c r="K73" s="8"/>
      <c r="L73" s="8"/>
      <c r="P73" s="1"/>
      <c r="Q73" s="5"/>
    </row>
    <row r="74" spans="1:17" ht="12.75">
      <c r="A74" s="24" t="s">
        <v>141</v>
      </c>
      <c r="B74" s="25" t="s">
        <v>434</v>
      </c>
      <c r="C74" s="26" t="s">
        <v>128</v>
      </c>
      <c r="D74" s="50" t="s">
        <v>209</v>
      </c>
      <c r="E74" s="13" t="s">
        <v>487</v>
      </c>
      <c r="F74" s="19">
        <v>0</v>
      </c>
      <c r="G74" s="19"/>
      <c r="H74" s="19">
        <v>100000</v>
      </c>
      <c r="I74" s="33">
        <v>100000</v>
      </c>
      <c r="J74" s="4"/>
      <c r="K74" s="8"/>
      <c r="L74" s="8"/>
      <c r="P74" s="1"/>
      <c r="Q74" s="5"/>
    </row>
    <row r="75" spans="1:17" ht="12.75">
      <c r="A75" s="24" t="s">
        <v>141</v>
      </c>
      <c r="B75" s="25" t="s">
        <v>434</v>
      </c>
      <c r="C75" s="26" t="s">
        <v>131</v>
      </c>
      <c r="D75" s="50"/>
      <c r="E75" s="13" t="s">
        <v>522</v>
      </c>
      <c r="F75" s="19"/>
      <c r="G75" s="19"/>
      <c r="H75" s="19"/>
      <c r="I75" s="33">
        <v>2500000</v>
      </c>
      <c r="J75" s="4"/>
      <c r="K75" s="8"/>
      <c r="L75" s="8"/>
      <c r="P75" s="1"/>
      <c r="Q75" s="5"/>
    </row>
    <row r="76" spans="1:17" ht="12.75">
      <c r="A76" s="24">
        <v>50</v>
      </c>
      <c r="B76" s="25">
        <v>30</v>
      </c>
      <c r="C76" s="26" t="s">
        <v>129</v>
      </c>
      <c r="D76" s="50"/>
      <c r="E76" s="13" t="s">
        <v>79</v>
      </c>
      <c r="F76" s="19">
        <v>2466000</v>
      </c>
      <c r="G76" s="19">
        <v>2466000</v>
      </c>
      <c r="H76" s="19">
        <v>2466000</v>
      </c>
      <c r="I76" s="33">
        <v>3506000</v>
      </c>
      <c r="J76" s="4" t="s">
        <v>180</v>
      </c>
      <c r="P76" s="1"/>
      <c r="Q76" s="5"/>
    </row>
    <row r="77" spans="1:17" s="6" customFormat="1" ht="12.75">
      <c r="A77" s="27" t="s">
        <v>76</v>
      </c>
      <c r="B77" s="28" t="s">
        <v>80</v>
      </c>
      <c r="C77" s="29"/>
      <c r="D77" s="51"/>
      <c r="E77" s="15" t="s">
        <v>81</v>
      </c>
      <c r="F77" s="16">
        <f>F78</f>
        <v>4240000</v>
      </c>
      <c r="G77" s="16">
        <f>G78</f>
        <v>2575000</v>
      </c>
      <c r="H77" s="16">
        <f>H78</f>
        <v>2575000</v>
      </c>
      <c r="I77" s="16">
        <f>I78</f>
        <v>3000000</v>
      </c>
      <c r="J77" s="36"/>
      <c r="O77" s="94"/>
      <c r="P77" s="1"/>
      <c r="Q77" s="5"/>
    </row>
    <row r="78" spans="1:17" ht="12.75">
      <c r="A78" s="34">
        <v>30</v>
      </c>
      <c r="B78" s="31">
        <v>20</v>
      </c>
      <c r="C78" s="35">
        <v>11</v>
      </c>
      <c r="D78" s="52"/>
      <c r="E78" s="13" t="s">
        <v>81</v>
      </c>
      <c r="F78" s="19">
        <f>3800000+440000</f>
        <v>4240000</v>
      </c>
      <c r="G78" s="19">
        <f>F78-440000-1000000-225000</f>
        <v>2575000</v>
      </c>
      <c r="H78" s="19">
        <f>G78</f>
        <v>2575000</v>
      </c>
      <c r="I78" s="33">
        <v>3000000</v>
      </c>
      <c r="J78" s="4" t="s">
        <v>183</v>
      </c>
      <c r="K78" s="8" t="s">
        <v>170</v>
      </c>
      <c r="L78" s="8">
        <f>ROUND(F78*(F$4),-3)</f>
        <v>106000</v>
      </c>
      <c r="M78" t="s">
        <v>190</v>
      </c>
      <c r="N78" s="1">
        <v>-440000</v>
      </c>
      <c r="P78" s="1"/>
      <c r="Q78" s="5"/>
    </row>
    <row r="79" spans="1:17" s="6" customFormat="1" ht="12.75">
      <c r="A79" s="27" t="s">
        <v>82</v>
      </c>
      <c r="B79" s="28" t="s">
        <v>139</v>
      </c>
      <c r="C79" s="29"/>
      <c r="D79" s="51"/>
      <c r="E79" s="15" t="s">
        <v>83</v>
      </c>
      <c r="F79" s="16">
        <f>F80</f>
        <v>13000000</v>
      </c>
      <c r="G79" s="16">
        <f>G80</f>
        <v>0</v>
      </c>
      <c r="H79" s="16">
        <f>H80</f>
        <v>0</v>
      </c>
      <c r="I79" s="16">
        <f>SUM(I80:I81)</f>
        <v>800000</v>
      </c>
      <c r="J79" s="36"/>
      <c r="O79" s="94"/>
      <c r="P79" s="1"/>
      <c r="Q79" s="5"/>
    </row>
    <row r="80" spans="1:17" ht="12.75">
      <c r="A80" s="24">
        <v>40</v>
      </c>
      <c r="B80" s="25">
        <v>15</v>
      </c>
      <c r="C80" s="26" t="s">
        <v>128</v>
      </c>
      <c r="D80" s="50"/>
      <c r="E80" s="13" t="s">
        <v>525</v>
      </c>
      <c r="F80" s="19">
        <v>13000000</v>
      </c>
      <c r="G80" s="19">
        <v>0</v>
      </c>
      <c r="H80" s="19">
        <v>0</v>
      </c>
      <c r="I80" s="33">
        <v>750000</v>
      </c>
      <c r="J80" s="4"/>
      <c r="K80" t="s">
        <v>191</v>
      </c>
      <c r="N80" s="1">
        <v>-13000000</v>
      </c>
      <c r="P80" s="1"/>
      <c r="Q80" s="5"/>
    </row>
    <row r="81" spans="1:17" ht="12.75">
      <c r="A81" s="34" t="s">
        <v>160</v>
      </c>
      <c r="B81" s="31" t="s">
        <v>526</v>
      </c>
      <c r="C81" s="35" t="s">
        <v>130</v>
      </c>
      <c r="D81" s="52"/>
      <c r="E81" s="13" t="s">
        <v>527</v>
      </c>
      <c r="F81" s="19"/>
      <c r="G81" s="19"/>
      <c r="H81" s="19"/>
      <c r="I81" s="33">
        <v>50000</v>
      </c>
      <c r="J81" s="4"/>
      <c r="N81" s="1"/>
      <c r="P81" s="1"/>
      <c r="Q81" s="5"/>
    </row>
    <row r="82" spans="1:17" s="6" customFormat="1" ht="12.75">
      <c r="A82" s="27" t="s">
        <v>84</v>
      </c>
      <c r="B82" s="28" t="s">
        <v>59</v>
      </c>
      <c r="C82" s="29"/>
      <c r="D82" s="51"/>
      <c r="E82" s="15" t="s">
        <v>85</v>
      </c>
      <c r="F82" s="16">
        <f>SUM(F83:F85)+68000</f>
        <v>4368000</v>
      </c>
      <c r="G82" s="16">
        <f>SUM(G83:G85)</f>
        <v>5368000</v>
      </c>
      <c r="H82" s="16">
        <f>SUM(H83:H85)</f>
        <v>5468000</v>
      </c>
      <c r="I82" s="16">
        <f>SUM(I83:I85)</f>
        <v>5400000</v>
      </c>
      <c r="J82" s="36"/>
      <c r="O82" s="94"/>
      <c r="P82" s="1"/>
      <c r="Q82" s="5"/>
    </row>
    <row r="83" spans="1:17" ht="12.75">
      <c r="A83" s="24" t="s">
        <v>351</v>
      </c>
      <c r="B83" s="25" t="s">
        <v>352</v>
      </c>
      <c r="C83" s="26" t="s">
        <v>129</v>
      </c>
      <c r="D83" s="50" t="s">
        <v>230</v>
      </c>
      <c r="E83" s="13" t="s">
        <v>86</v>
      </c>
      <c r="F83" s="19">
        <v>4300000</v>
      </c>
      <c r="G83" s="19">
        <v>4300000</v>
      </c>
      <c r="H83" s="19">
        <v>4400000</v>
      </c>
      <c r="I83" s="33">
        <v>4600000</v>
      </c>
      <c r="J83" s="4" t="s">
        <v>187</v>
      </c>
      <c r="O83" s="95">
        <v>5300000</v>
      </c>
      <c r="P83" s="1"/>
      <c r="Q83" s="5"/>
    </row>
    <row r="84" spans="1:17" ht="12.75">
      <c r="A84" s="34" t="s">
        <v>354</v>
      </c>
      <c r="B84" s="31" t="s">
        <v>355</v>
      </c>
      <c r="C84" s="35" t="s">
        <v>129</v>
      </c>
      <c r="D84" s="52" t="s">
        <v>230</v>
      </c>
      <c r="E84" s="13" t="s">
        <v>219</v>
      </c>
      <c r="F84" s="19"/>
      <c r="G84" s="19">
        <v>1000000</v>
      </c>
      <c r="H84" s="19">
        <v>1000000</v>
      </c>
      <c r="I84" s="33">
        <v>760000</v>
      </c>
      <c r="J84" s="4"/>
      <c r="P84" s="1"/>
      <c r="Q84" s="5"/>
    </row>
    <row r="85" spans="1:17" ht="12.75">
      <c r="A85" s="24" t="s">
        <v>354</v>
      </c>
      <c r="B85" s="25" t="s">
        <v>355</v>
      </c>
      <c r="C85" s="26" t="s">
        <v>130</v>
      </c>
      <c r="D85" s="50" t="s">
        <v>230</v>
      </c>
      <c r="E85" s="13" t="s">
        <v>523</v>
      </c>
      <c r="F85" s="19"/>
      <c r="G85" s="19">
        <v>68000</v>
      </c>
      <c r="H85" s="19">
        <v>68000</v>
      </c>
      <c r="I85" s="33">
        <v>40000</v>
      </c>
      <c r="J85" s="4" t="s">
        <v>187</v>
      </c>
      <c r="P85" s="1"/>
      <c r="Q85" s="5"/>
    </row>
    <row r="86" spans="1:17" s="6" customFormat="1" ht="12.75">
      <c r="A86" s="27" t="s">
        <v>84</v>
      </c>
      <c r="B86" s="28" t="s">
        <v>55</v>
      </c>
      <c r="C86" s="29" t="s">
        <v>23</v>
      </c>
      <c r="D86" s="51"/>
      <c r="E86" s="15" t="s">
        <v>87</v>
      </c>
      <c r="F86" s="16">
        <f>SUM(F87:F90)</f>
        <v>3930000</v>
      </c>
      <c r="G86" s="16">
        <f>SUM(G87:G90)</f>
        <v>3980000</v>
      </c>
      <c r="H86" s="16">
        <f>SUM(H87:H90)</f>
        <v>4130000</v>
      </c>
      <c r="I86" s="16">
        <f>SUM(I87:I90)</f>
        <v>4530000</v>
      </c>
      <c r="J86" s="36"/>
      <c r="O86" s="94"/>
      <c r="P86" s="1"/>
      <c r="Q86" s="5"/>
    </row>
    <row r="87" spans="1:17" ht="12.75">
      <c r="A87" s="24" t="s">
        <v>351</v>
      </c>
      <c r="B87" s="25" t="s">
        <v>353</v>
      </c>
      <c r="C87" s="26" t="s">
        <v>128</v>
      </c>
      <c r="D87" s="50" t="s">
        <v>203</v>
      </c>
      <c r="E87" s="13" t="s">
        <v>88</v>
      </c>
      <c r="F87" s="19">
        <v>3750000</v>
      </c>
      <c r="G87" s="19">
        <v>3800000</v>
      </c>
      <c r="H87" s="19">
        <v>3900000</v>
      </c>
      <c r="I87" s="33">
        <v>4200000</v>
      </c>
      <c r="J87" s="4" t="s">
        <v>187</v>
      </c>
      <c r="O87" s="95">
        <v>4388000</v>
      </c>
      <c r="P87" s="1"/>
      <c r="Q87" s="5"/>
    </row>
    <row r="88" spans="1:17" ht="12.75">
      <c r="A88" s="24" t="s">
        <v>351</v>
      </c>
      <c r="B88" s="25" t="s">
        <v>353</v>
      </c>
      <c r="C88" s="26" t="s">
        <v>130</v>
      </c>
      <c r="D88" s="50" t="s">
        <v>203</v>
      </c>
      <c r="E88" s="13" t="s">
        <v>89</v>
      </c>
      <c r="F88" s="19">
        <v>0</v>
      </c>
      <c r="G88" s="19">
        <v>0</v>
      </c>
      <c r="H88" s="19">
        <v>50000</v>
      </c>
      <c r="I88" s="33">
        <v>90000</v>
      </c>
      <c r="J88" s="4" t="s">
        <v>187</v>
      </c>
      <c r="P88" s="1"/>
      <c r="Q88" s="5"/>
    </row>
    <row r="89" spans="1:17" ht="12.75">
      <c r="A89" s="24" t="s">
        <v>351</v>
      </c>
      <c r="B89" s="25" t="s">
        <v>353</v>
      </c>
      <c r="C89" s="26" t="s">
        <v>131</v>
      </c>
      <c r="D89" s="50" t="s">
        <v>203</v>
      </c>
      <c r="E89" s="13" t="s">
        <v>467</v>
      </c>
      <c r="F89" s="19"/>
      <c r="G89" s="19"/>
      <c r="H89" s="19"/>
      <c r="I89" s="33">
        <v>60000</v>
      </c>
      <c r="J89" s="4"/>
      <c r="P89" s="1"/>
      <c r="Q89" s="5"/>
    </row>
    <row r="90" spans="1:17" ht="12.75">
      <c r="A90" s="34">
        <v>30</v>
      </c>
      <c r="B90" s="31" t="s">
        <v>129</v>
      </c>
      <c r="C90" s="35" t="s">
        <v>131</v>
      </c>
      <c r="D90" s="52"/>
      <c r="E90" s="13" t="s">
        <v>391</v>
      </c>
      <c r="F90" s="19">
        <v>180000</v>
      </c>
      <c r="G90" s="19">
        <v>180000</v>
      </c>
      <c r="H90" s="19">
        <v>180000</v>
      </c>
      <c r="I90" s="33">
        <v>180000</v>
      </c>
      <c r="J90" s="4" t="s">
        <v>187</v>
      </c>
      <c r="P90" s="1"/>
      <c r="Q90" s="5"/>
    </row>
    <row r="91" spans="1:17" ht="12.75">
      <c r="A91" s="27" t="s">
        <v>84</v>
      </c>
      <c r="B91" s="28" t="s">
        <v>158</v>
      </c>
      <c r="C91" s="26"/>
      <c r="D91" s="50"/>
      <c r="E91" s="15" t="s">
        <v>159</v>
      </c>
      <c r="F91" s="16">
        <f>SUM(F92:F93)</f>
        <v>650000</v>
      </c>
      <c r="G91" s="16">
        <f>SUM(G92:G93)</f>
        <v>1360000</v>
      </c>
      <c r="H91" s="16">
        <f>SUM(H92:H93)</f>
        <v>1360000</v>
      </c>
      <c r="I91" s="16">
        <f>SUM(I92:I93)</f>
        <v>1929000</v>
      </c>
      <c r="J91" s="4"/>
      <c r="P91" s="1"/>
      <c r="Q91" s="5"/>
    </row>
    <row r="92" spans="1:17" ht="12.75">
      <c r="A92" s="24" t="s">
        <v>351</v>
      </c>
      <c r="B92" s="25" t="s">
        <v>353</v>
      </c>
      <c r="C92" s="26" t="s">
        <v>131</v>
      </c>
      <c r="D92" s="50" t="s">
        <v>212</v>
      </c>
      <c r="E92" s="13" t="s">
        <v>161</v>
      </c>
      <c r="F92" s="19">
        <v>650000</v>
      </c>
      <c r="G92" s="19">
        <v>670000</v>
      </c>
      <c r="H92" s="19">
        <v>670000</v>
      </c>
      <c r="I92" s="33">
        <v>663000</v>
      </c>
      <c r="J92" s="4" t="s">
        <v>187</v>
      </c>
      <c r="P92" s="1"/>
      <c r="Q92" s="5"/>
    </row>
    <row r="93" spans="1:17" ht="12.75">
      <c r="A93" s="34" t="s">
        <v>160</v>
      </c>
      <c r="B93" s="31" t="s">
        <v>235</v>
      </c>
      <c r="C93" s="35" t="s">
        <v>129</v>
      </c>
      <c r="D93" s="50" t="s">
        <v>212</v>
      </c>
      <c r="E93" s="13" t="s">
        <v>215</v>
      </c>
      <c r="F93" s="19"/>
      <c r="G93" s="19">
        <v>690000</v>
      </c>
      <c r="H93" s="19">
        <v>690000</v>
      </c>
      <c r="I93" s="33">
        <v>1266000</v>
      </c>
      <c r="J93" s="4"/>
      <c r="O93" s="92" t="s">
        <v>252</v>
      </c>
      <c r="P93" s="1"/>
      <c r="Q93" s="5"/>
    </row>
    <row r="94" spans="1:17" s="6" customFormat="1" ht="12.75">
      <c r="A94" s="27" t="s">
        <v>84</v>
      </c>
      <c r="B94" s="28" t="s">
        <v>80</v>
      </c>
      <c r="C94" s="29"/>
      <c r="D94" s="51"/>
      <c r="E94" s="15" t="s">
        <v>90</v>
      </c>
      <c r="F94" s="16">
        <f>SUM(F95:F102)</f>
        <v>2110000</v>
      </c>
      <c r="G94" s="16">
        <f>SUM(G95:G102)</f>
        <v>2880000</v>
      </c>
      <c r="H94" s="16">
        <f>SUM(H95:H102)</f>
        <v>2880000</v>
      </c>
      <c r="I94" s="16">
        <f>SUM(I95:I102)</f>
        <v>2130000</v>
      </c>
      <c r="J94" s="36"/>
      <c r="O94" s="94"/>
      <c r="P94" s="1"/>
      <c r="Q94" s="5"/>
    </row>
    <row r="95" spans="1:17" ht="12.75">
      <c r="A95" s="24">
        <v>30</v>
      </c>
      <c r="B95" s="25">
        <v>20</v>
      </c>
      <c r="C95" s="26">
        <v>15</v>
      </c>
      <c r="D95" s="50"/>
      <c r="E95" s="13" t="s">
        <v>33</v>
      </c>
      <c r="F95" s="19">
        <v>1030000</v>
      </c>
      <c r="G95" s="19">
        <f>800000+300000</f>
        <v>1100000</v>
      </c>
      <c r="H95" s="19">
        <f>800000+300000</f>
        <v>1100000</v>
      </c>
      <c r="I95" s="33">
        <v>1050000</v>
      </c>
      <c r="J95" s="4" t="s">
        <v>183</v>
      </c>
      <c r="K95" s="8" t="s">
        <v>170</v>
      </c>
      <c r="L95" s="8">
        <f>ROUND(F95*(F$4),-3)</f>
        <v>26000</v>
      </c>
      <c r="P95" s="1"/>
      <c r="Q95" s="5"/>
    </row>
    <row r="96" spans="1:17" ht="12.75">
      <c r="A96" s="24" t="s">
        <v>128</v>
      </c>
      <c r="B96" s="25" t="s">
        <v>128</v>
      </c>
      <c r="C96" s="26" t="s">
        <v>129</v>
      </c>
      <c r="D96" s="50" t="s">
        <v>216</v>
      </c>
      <c r="E96" s="13" t="s">
        <v>91</v>
      </c>
      <c r="F96" s="19">
        <v>300000</v>
      </c>
      <c r="G96" s="19">
        <v>300000</v>
      </c>
      <c r="H96" s="19">
        <v>300000</v>
      </c>
      <c r="I96" s="19">
        <v>245000</v>
      </c>
      <c r="J96" s="4" t="s">
        <v>187</v>
      </c>
      <c r="P96" s="1"/>
      <c r="Q96" s="5"/>
    </row>
    <row r="97" spans="1:17" ht="12.75">
      <c r="A97" s="24"/>
      <c r="B97" s="25"/>
      <c r="C97" s="26"/>
      <c r="D97" s="50"/>
      <c r="E97" s="13" t="s">
        <v>92</v>
      </c>
      <c r="F97" s="19">
        <v>700000</v>
      </c>
      <c r="G97" s="19"/>
      <c r="H97" s="19"/>
      <c r="I97" s="19">
        <v>570000</v>
      </c>
      <c r="J97" s="4"/>
      <c r="P97" s="1"/>
      <c r="Q97" s="5"/>
    </row>
    <row r="98" spans="1:17" ht="12.75">
      <c r="A98" s="24" t="s">
        <v>354</v>
      </c>
      <c r="B98" s="25" t="s">
        <v>350</v>
      </c>
      <c r="C98" s="26" t="s">
        <v>128</v>
      </c>
      <c r="D98" s="50" t="s">
        <v>183</v>
      </c>
      <c r="E98" s="13" t="s">
        <v>447</v>
      </c>
      <c r="F98" s="19"/>
      <c r="G98" s="19"/>
      <c r="H98" s="19"/>
      <c r="I98" s="19"/>
      <c r="J98" s="4"/>
      <c r="P98" s="1"/>
      <c r="Q98" s="5"/>
    </row>
    <row r="99" spans="1:17" ht="12.75">
      <c r="A99" s="24" t="s">
        <v>354</v>
      </c>
      <c r="B99" s="25" t="s">
        <v>350</v>
      </c>
      <c r="C99" s="26" t="s">
        <v>130</v>
      </c>
      <c r="D99" s="50" t="s">
        <v>187</v>
      </c>
      <c r="E99" s="13" t="s">
        <v>448</v>
      </c>
      <c r="F99" s="19"/>
      <c r="G99" s="19"/>
      <c r="H99" s="19"/>
      <c r="I99" s="19"/>
      <c r="J99" s="4"/>
      <c r="P99" s="1"/>
      <c r="Q99" s="5"/>
    </row>
    <row r="100" spans="1:17" ht="12.75">
      <c r="A100" s="24" t="s">
        <v>354</v>
      </c>
      <c r="B100" s="25" t="s">
        <v>350</v>
      </c>
      <c r="C100" s="26" t="s">
        <v>131</v>
      </c>
      <c r="D100" s="50" t="s">
        <v>450</v>
      </c>
      <c r="E100" s="13" t="s">
        <v>449</v>
      </c>
      <c r="F100" s="19"/>
      <c r="G100" s="19">
        <v>700000</v>
      </c>
      <c r="H100" s="19">
        <v>700000</v>
      </c>
      <c r="I100" s="19"/>
      <c r="J100" s="4" t="s">
        <v>187</v>
      </c>
      <c r="P100" s="1"/>
      <c r="Q100" s="5"/>
    </row>
    <row r="101" spans="1:17" ht="12.75">
      <c r="A101" s="24" t="s">
        <v>354</v>
      </c>
      <c r="B101" s="25" t="s">
        <v>350</v>
      </c>
      <c r="C101" s="26" t="s">
        <v>133</v>
      </c>
      <c r="D101" s="50"/>
      <c r="E101" s="13" t="s">
        <v>486</v>
      </c>
      <c r="F101" s="19"/>
      <c r="G101" s="19">
        <v>700000</v>
      </c>
      <c r="H101" s="19">
        <v>700000</v>
      </c>
      <c r="I101" s="19">
        <v>185000</v>
      </c>
      <c r="J101" s="4"/>
      <c r="P101" s="1"/>
      <c r="Q101" s="5"/>
    </row>
    <row r="102" spans="1:17" ht="12.75">
      <c r="A102" s="34">
        <v>60</v>
      </c>
      <c r="B102" s="31">
        <v>40</v>
      </c>
      <c r="C102" s="35">
        <v>30</v>
      </c>
      <c r="D102" s="52"/>
      <c r="E102" s="13" t="s">
        <v>93</v>
      </c>
      <c r="F102" s="19">
        <v>80000</v>
      </c>
      <c r="G102" s="19">
        <v>80000</v>
      </c>
      <c r="H102" s="19">
        <v>80000</v>
      </c>
      <c r="I102" s="33">
        <v>80000</v>
      </c>
      <c r="J102" s="4" t="s">
        <v>183</v>
      </c>
      <c r="K102" s="8" t="s">
        <v>170</v>
      </c>
      <c r="L102" s="8">
        <f>ROUND(F102*(F$4),-3)</f>
        <v>2000</v>
      </c>
      <c r="P102" s="1"/>
      <c r="Q102" s="5"/>
    </row>
    <row r="103" spans="1:17" s="6" customFormat="1" ht="12.75">
      <c r="A103" s="27" t="s">
        <v>84</v>
      </c>
      <c r="B103" s="28" t="s">
        <v>94</v>
      </c>
      <c r="C103" s="29"/>
      <c r="D103" s="51"/>
      <c r="E103" s="15" t="s">
        <v>95</v>
      </c>
      <c r="F103" s="16">
        <f>SUM(F104:F105)</f>
        <v>50000</v>
      </c>
      <c r="G103" s="16">
        <f>SUM(G104:G105)</f>
        <v>95000</v>
      </c>
      <c r="H103" s="16">
        <f>SUM(H104:H105)</f>
        <v>95000</v>
      </c>
      <c r="I103" s="16">
        <f>SUM(I104:I105)</f>
        <v>107000</v>
      </c>
      <c r="J103" s="36"/>
      <c r="O103" s="94"/>
      <c r="P103" s="1"/>
      <c r="Q103" s="5"/>
    </row>
    <row r="104" spans="1:17" ht="12.75">
      <c r="A104" s="24" t="s">
        <v>128</v>
      </c>
      <c r="B104" s="25" t="s">
        <v>130</v>
      </c>
      <c r="C104" s="26" t="s">
        <v>129</v>
      </c>
      <c r="D104" s="50"/>
      <c r="E104" s="13" t="s">
        <v>96</v>
      </c>
      <c r="F104" s="19">
        <v>50000</v>
      </c>
      <c r="G104" s="19">
        <v>50000</v>
      </c>
      <c r="H104" s="19">
        <v>50000</v>
      </c>
      <c r="I104" s="19">
        <v>50000</v>
      </c>
      <c r="J104" s="4" t="s">
        <v>187</v>
      </c>
      <c r="P104" s="1"/>
      <c r="Q104" s="5"/>
    </row>
    <row r="105" spans="1:17" ht="12.75">
      <c r="A105" s="34" t="s">
        <v>244</v>
      </c>
      <c r="B105" s="31" t="s">
        <v>129</v>
      </c>
      <c r="C105" s="35" t="s">
        <v>128</v>
      </c>
      <c r="D105" s="52"/>
      <c r="E105" s="13" t="s">
        <v>217</v>
      </c>
      <c r="F105" s="19"/>
      <c r="G105" s="19">
        <v>45000</v>
      </c>
      <c r="H105" s="19">
        <v>45000</v>
      </c>
      <c r="I105" s="33">
        <v>57000</v>
      </c>
      <c r="J105" s="4"/>
      <c r="P105" s="1"/>
      <c r="Q105" s="5"/>
    </row>
    <row r="106" spans="1:17" s="6" customFormat="1" ht="12.75">
      <c r="A106" s="27" t="s">
        <v>97</v>
      </c>
      <c r="B106" s="28" t="s">
        <v>156</v>
      </c>
      <c r="C106" s="29" t="s">
        <v>23</v>
      </c>
      <c r="D106" s="51"/>
      <c r="E106" s="15" t="s">
        <v>157</v>
      </c>
      <c r="F106" s="16">
        <f>SUM(F107:F124)</f>
        <v>90696000</v>
      </c>
      <c r="G106" s="16">
        <f>SUM(G107:G124)</f>
        <v>93927000</v>
      </c>
      <c r="H106" s="16">
        <f>SUM(H107:H124)</f>
        <v>96120000</v>
      </c>
      <c r="I106" s="16">
        <f>SUM(I107:I124)</f>
        <v>1615000</v>
      </c>
      <c r="J106" s="36"/>
      <c r="O106" s="94"/>
      <c r="P106" s="1"/>
      <c r="Q106" s="5"/>
    </row>
    <row r="107" spans="1:17" ht="12.75">
      <c r="A107" s="24">
        <v>50</v>
      </c>
      <c r="B107" s="25" t="s">
        <v>129</v>
      </c>
      <c r="C107" s="26" t="s">
        <v>128</v>
      </c>
      <c r="D107" s="50"/>
      <c r="E107" s="13" t="s">
        <v>41</v>
      </c>
      <c r="F107" s="19">
        <v>50000</v>
      </c>
      <c r="G107" s="19">
        <v>50000</v>
      </c>
      <c r="H107" s="19">
        <v>50000</v>
      </c>
      <c r="I107" s="33">
        <v>0</v>
      </c>
      <c r="J107" s="4" t="s">
        <v>180</v>
      </c>
      <c r="O107" s="92">
        <v>80000</v>
      </c>
      <c r="P107" s="1"/>
      <c r="Q107" s="5"/>
    </row>
    <row r="108" spans="1:17" ht="12.75">
      <c r="A108" s="24">
        <v>50</v>
      </c>
      <c r="B108" s="25">
        <v>21</v>
      </c>
      <c r="C108" s="26" t="s">
        <v>128</v>
      </c>
      <c r="D108" s="50"/>
      <c r="E108" s="13" t="s">
        <v>98</v>
      </c>
      <c r="F108" s="19">
        <v>37791000</v>
      </c>
      <c r="G108" s="19">
        <v>37791000</v>
      </c>
      <c r="H108" s="19">
        <v>37791000</v>
      </c>
      <c r="I108" s="33">
        <v>0</v>
      </c>
      <c r="J108" s="4" t="s">
        <v>180</v>
      </c>
      <c r="P108" s="1"/>
      <c r="Q108" s="5"/>
    </row>
    <row r="109" spans="1:17" ht="12.75">
      <c r="A109" s="24">
        <v>50</v>
      </c>
      <c r="B109" s="25">
        <v>21</v>
      </c>
      <c r="C109" s="26" t="s">
        <v>130</v>
      </c>
      <c r="D109" s="50"/>
      <c r="E109" s="13" t="s">
        <v>99</v>
      </c>
      <c r="F109" s="19">
        <v>10251000</v>
      </c>
      <c r="G109" s="19">
        <v>10251000</v>
      </c>
      <c r="H109" s="19">
        <v>10251000</v>
      </c>
      <c r="I109" s="33">
        <v>0</v>
      </c>
      <c r="J109" s="4" t="s">
        <v>180</v>
      </c>
      <c r="P109" s="1"/>
      <c r="Q109" s="5"/>
    </row>
    <row r="110" spans="1:17" ht="12.75">
      <c r="A110" s="24">
        <v>50</v>
      </c>
      <c r="B110" s="25">
        <v>21</v>
      </c>
      <c r="C110" s="26" t="s">
        <v>133</v>
      </c>
      <c r="D110" s="50"/>
      <c r="E110" s="13" t="s">
        <v>100</v>
      </c>
      <c r="F110" s="19">
        <v>29714000</v>
      </c>
      <c r="G110" s="19">
        <f>F110+1902000+891000</f>
        <v>32507000</v>
      </c>
      <c r="H110" s="19">
        <f>ROUND((47086000-1500000)*9/11,-3)-4500000</f>
        <v>32798000</v>
      </c>
      <c r="I110" s="33">
        <v>0</v>
      </c>
      <c r="J110" s="4" t="s">
        <v>183</v>
      </c>
      <c r="K110" s="8" t="s">
        <v>193</v>
      </c>
      <c r="L110" s="8">
        <f>ROUND(F110*(F$4+F$5),-3)</f>
        <v>1902000</v>
      </c>
      <c r="N110" s="1"/>
      <c r="O110" s="95"/>
      <c r="P110" s="1"/>
      <c r="Q110" s="5"/>
    </row>
    <row r="111" spans="1:17" ht="12.75">
      <c r="A111" s="24">
        <v>50</v>
      </c>
      <c r="B111" s="25">
        <v>21</v>
      </c>
      <c r="C111" s="26" t="s">
        <v>134</v>
      </c>
      <c r="D111" s="50"/>
      <c r="E111" s="13" t="s">
        <v>101</v>
      </c>
      <c r="F111" s="19">
        <v>7539000</v>
      </c>
      <c r="G111" s="19">
        <f>F111+188000</f>
        <v>7727000</v>
      </c>
      <c r="H111" s="19">
        <f>43927000-1500000-H110</f>
        <v>9629000</v>
      </c>
      <c r="I111" s="33">
        <v>0</v>
      </c>
      <c r="J111" s="4" t="s">
        <v>183</v>
      </c>
      <c r="K111" s="8" t="s">
        <v>170</v>
      </c>
      <c r="L111" s="8">
        <f>ROUND(F111*(F$4),-3)</f>
        <v>188000</v>
      </c>
      <c r="P111" s="1"/>
      <c r="Q111" s="5"/>
    </row>
    <row r="112" spans="1:17" ht="12.75">
      <c r="A112" s="24">
        <v>50</v>
      </c>
      <c r="B112" s="25">
        <v>21</v>
      </c>
      <c r="C112" s="26">
        <v>11</v>
      </c>
      <c r="D112" s="50"/>
      <c r="E112" s="13" t="s">
        <v>102</v>
      </c>
      <c r="F112" s="19">
        <v>340000</v>
      </c>
      <c r="G112" s="19">
        <v>340000</v>
      </c>
      <c r="H112" s="19">
        <v>340000</v>
      </c>
      <c r="I112" s="33">
        <v>175000</v>
      </c>
      <c r="J112" s="4" t="s">
        <v>180</v>
      </c>
      <c r="O112" s="92" t="s">
        <v>378</v>
      </c>
      <c r="P112" s="1"/>
      <c r="Q112" s="5"/>
    </row>
    <row r="113" spans="1:17" ht="12.75">
      <c r="A113" s="24">
        <v>50</v>
      </c>
      <c r="B113" s="25">
        <v>21</v>
      </c>
      <c r="C113" s="26">
        <v>12</v>
      </c>
      <c r="D113" s="50"/>
      <c r="E113" s="13" t="s">
        <v>103</v>
      </c>
      <c r="F113" s="19">
        <v>1060000</v>
      </c>
      <c r="G113" s="19">
        <v>1060000</v>
      </c>
      <c r="H113" s="19">
        <v>1060000</v>
      </c>
      <c r="I113" s="33">
        <v>550000</v>
      </c>
      <c r="J113" s="4" t="s">
        <v>180</v>
      </c>
      <c r="O113" s="92" t="s">
        <v>378</v>
      </c>
      <c r="P113" s="1"/>
      <c r="Q113" s="5"/>
    </row>
    <row r="114" spans="1:17" ht="12.75">
      <c r="A114" s="24">
        <v>50</v>
      </c>
      <c r="B114" s="25">
        <v>21</v>
      </c>
      <c r="C114" s="26">
        <v>13</v>
      </c>
      <c r="D114" s="50"/>
      <c r="E114" s="13" t="s">
        <v>104</v>
      </c>
      <c r="F114" s="19">
        <v>280000</v>
      </c>
      <c r="G114" s="19">
        <v>280000</v>
      </c>
      <c r="H114" s="19">
        <v>280000</v>
      </c>
      <c r="I114" s="33">
        <v>0</v>
      </c>
      <c r="J114" s="4" t="s">
        <v>180</v>
      </c>
      <c r="O114" s="92">
        <v>440000</v>
      </c>
      <c r="P114" s="1"/>
      <c r="Q114" s="5"/>
    </row>
    <row r="115" spans="1:17" ht="12.75">
      <c r="A115" s="24">
        <v>50</v>
      </c>
      <c r="B115" s="25">
        <v>21</v>
      </c>
      <c r="C115" s="26">
        <v>14</v>
      </c>
      <c r="D115" s="50"/>
      <c r="E115" s="13" t="s">
        <v>105</v>
      </c>
      <c r="F115" s="19">
        <v>78000</v>
      </c>
      <c r="G115" s="19">
        <v>78000</v>
      </c>
      <c r="H115" s="19">
        <v>78000</v>
      </c>
      <c r="I115" s="33">
        <v>0</v>
      </c>
      <c r="J115" s="4" t="s">
        <v>180</v>
      </c>
      <c r="P115" s="1"/>
      <c r="Q115" s="5"/>
    </row>
    <row r="116" spans="1:17" ht="12.75">
      <c r="A116" s="24">
        <v>50</v>
      </c>
      <c r="B116" s="25">
        <v>21</v>
      </c>
      <c r="C116" s="26">
        <v>15</v>
      </c>
      <c r="D116" s="50"/>
      <c r="E116" s="13" t="s">
        <v>106</v>
      </c>
      <c r="F116" s="19">
        <v>108000</v>
      </c>
      <c r="G116" s="19">
        <v>108000</v>
      </c>
      <c r="H116" s="19">
        <v>108000</v>
      </c>
      <c r="I116" s="33">
        <v>0</v>
      </c>
      <c r="J116" s="4" t="s">
        <v>180</v>
      </c>
      <c r="O116" s="92">
        <v>132000</v>
      </c>
      <c r="P116" s="1"/>
      <c r="Q116" s="5"/>
    </row>
    <row r="117" spans="1:17" ht="12.75">
      <c r="A117" s="24">
        <v>50</v>
      </c>
      <c r="B117" s="25">
        <v>21</v>
      </c>
      <c r="C117" s="26">
        <v>16</v>
      </c>
      <c r="D117" s="50"/>
      <c r="E117" s="13" t="s">
        <v>107</v>
      </c>
      <c r="F117" s="19">
        <v>188000</v>
      </c>
      <c r="G117" s="19">
        <v>188000</v>
      </c>
      <c r="H117" s="19">
        <v>188000</v>
      </c>
      <c r="I117" s="33">
        <v>0</v>
      </c>
      <c r="J117" s="4" t="s">
        <v>180</v>
      </c>
      <c r="O117" s="92">
        <v>50000</v>
      </c>
      <c r="P117" s="1"/>
      <c r="Q117" s="5"/>
    </row>
    <row r="118" spans="1:17" ht="12.75">
      <c r="A118" s="24">
        <v>50</v>
      </c>
      <c r="B118" s="25">
        <v>21</v>
      </c>
      <c r="C118" s="26">
        <v>17</v>
      </c>
      <c r="D118" s="50"/>
      <c r="E118" s="13" t="s">
        <v>108</v>
      </c>
      <c r="F118" s="19">
        <v>237000</v>
      </c>
      <c r="G118" s="19">
        <v>237000</v>
      </c>
      <c r="H118" s="19">
        <v>237000</v>
      </c>
      <c r="I118" s="33">
        <v>0</v>
      </c>
      <c r="J118" s="4" t="s">
        <v>180</v>
      </c>
      <c r="P118" s="1"/>
      <c r="Q118" s="5"/>
    </row>
    <row r="119" spans="1:17" ht="12.75">
      <c r="A119" s="24">
        <v>50</v>
      </c>
      <c r="B119" s="25">
        <v>21</v>
      </c>
      <c r="C119" s="26">
        <v>18</v>
      </c>
      <c r="D119" s="50"/>
      <c r="E119" s="13" t="s">
        <v>109</v>
      </c>
      <c r="F119" s="19">
        <v>1523000</v>
      </c>
      <c r="G119" s="19">
        <v>1523000</v>
      </c>
      <c r="H119" s="19">
        <v>1523000</v>
      </c>
      <c r="I119" s="33">
        <v>0</v>
      </c>
      <c r="J119" s="4" t="s">
        <v>180</v>
      </c>
      <c r="O119" s="92">
        <v>1640000</v>
      </c>
      <c r="P119" s="1"/>
      <c r="Q119" s="5"/>
    </row>
    <row r="120" spans="1:17" ht="12.75">
      <c r="A120" s="24">
        <v>50</v>
      </c>
      <c r="B120" s="25">
        <v>21</v>
      </c>
      <c r="C120" s="26">
        <v>19</v>
      </c>
      <c r="D120" s="50"/>
      <c r="E120" s="13" t="s">
        <v>110</v>
      </c>
      <c r="F120" s="19">
        <v>67000</v>
      </c>
      <c r="G120" s="19">
        <v>67000</v>
      </c>
      <c r="H120" s="19">
        <v>67000</v>
      </c>
      <c r="I120" s="33">
        <v>0</v>
      </c>
      <c r="J120" s="4" t="s">
        <v>180</v>
      </c>
      <c r="P120" s="1"/>
      <c r="Q120" s="5"/>
    </row>
    <row r="121" spans="1:17" ht="12.75">
      <c r="A121" s="24">
        <v>50</v>
      </c>
      <c r="B121" s="25">
        <v>21</v>
      </c>
      <c r="C121" s="26">
        <v>51</v>
      </c>
      <c r="D121" s="50"/>
      <c r="E121" s="13" t="s">
        <v>111</v>
      </c>
      <c r="F121" s="19">
        <v>980000</v>
      </c>
      <c r="G121" s="19">
        <v>980000</v>
      </c>
      <c r="H121" s="19">
        <v>980000</v>
      </c>
      <c r="I121" s="33">
        <v>0</v>
      </c>
      <c r="J121" s="4" t="s">
        <v>180</v>
      </c>
      <c r="P121" s="1"/>
      <c r="Q121" s="5"/>
    </row>
    <row r="122" spans="1:17" ht="12.75">
      <c r="A122" s="24" t="s">
        <v>160</v>
      </c>
      <c r="B122" s="25" t="s">
        <v>349</v>
      </c>
      <c r="C122" s="26" t="s">
        <v>131</v>
      </c>
      <c r="D122" s="50" t="s">
        <v>452</v>
      </c>
      <c r="E122" s="13" t="s">
        <v>451</v>
      </c>
      <c r="F122" s="19"/>
      <c r="G122" s="19">
        <v>250000</v>
      </c>
      <c r="H122" s="19">
        <v>250000</v>
      </c>
      <c r="I122" s="33">
        <v>250000</v>
      </c>
      <c r="J122" s="4"/>
      <c r="O122" s="92" t="s">
        <v>211</v>
      </c>
      <c r="P122" s="1"/>
      <c r="Q122" s="5"/>
    </row>
    <row r="123" spans="1:17" ht="12.75">
      <c r="A123" s="24" t="s">
        <v>235</v>
      </c>
      <c r="B123" s="25" t="s">
        <v>134</v>
      </c>
      <c r="C123" s="26" t="s">
        <v>129</v>
      </c>
      <c r="D123" s="50"/>
      <c r="E123" s="13" t="s">
        <v>438</v>
      </c>
      <c r="F123" s="19"/>
      <c r="G123" s="19"/>
      <c r="H123" s="19"/>
      <c r="I123" s="33">
        <v>10000</v>
      </c>
      <c r="J123" s="4"/>
      <c r="P123" s="1"/>
      <c r="Q123" s="5"/>
    </row>
    <row r="124" spans="1:17" ht="12.75">
      <c r="A124" s="34">
        <v>50</v>
      </c>
      <c r="B124" s="31">
        <v>20</v>
      </c>
      <c r="C124" s="35" t="s">
        <v>130</v>
      </c>
      <c r="D124" s="52"/>
      <c r="E124" s="13" t="s">
        <v>112</v>
      </c>
      <c r="F124" s="19">
        <v>490000</v>
      </c>
      <c r="G124" s="19">
        <v>490000</v>
      </c>
      <c r="H124" s="19">
        <v>490000</v>
      </c>
      <c r="I124" s="33">
        <v>630000</v>
      </c>
      <c r="J124" s="4" t="s">
        <v>180</v>
      </c>
      <c r="P124" s="1"/>
      <c r="Q124" s="5"/>
    </row>
    <row r="125" spans="1:17" s="6" customFormat="1" ht="12.75">
      <c r="A125" s="27" t="s">
        <v>114</v>
      </c>
      <c r="B125" s="28" t="s">
        <v>55</v>
      </c>
      <c r="C125" s="29" t="s">
        <v>23</v>
      </c>
      <c r="D125" s="51"/>
      <c r="E125" s="15" t="s">
        <v>115</v>
      </c>
      <c r="F125" s="16">
        <f>SUM(F126:F131)</f>
        <v>18201000</v>
      </c>
      <c r="G125" s="16">
        <f>SUM(G126:G131)</f>
        <v>18621000</v>
      </c>
      <c r="H125" s="16" t="e">
        <f>SUM(H126:H131)</f>
        <v>#REF!</v>
      </c>
      <c r="I125" s="16">
        <f>SUM(I126:I131)</f>
        <v>3851000</v>
      </c>
      <c r="J125" s="36"/>
      <c r="O125" s="94"/>
      <c r="P125" s="1"/>
      <c r="Q125" s="5"/>
    </row>
    <row r="126" spans="1:17" ht="12.75">
      <c r="A126" s="24" t="s">
        <v>235</v>
      </c>
      <c r="B126" s="25" t="s">
        <v>235</v>
      </c>
      <c r="C126" s="26" t="s">
        <v>128</v>
      </c>
      <c r="D126" s="50"/>
      <c r="E126" s="13" t="s">
        <v>116</v>
      </c>
      <c r="F126" s="19">
        <v>40000</v>
      </c>
      <c r="G126" s="19">
        <v>40000</v>
      </c>
      <c r="H126" s="19">
        <v>40000</v>
      </c>
      <c r="I126" s="33">
        <v>50000</v>
      </c>
      <c r="J126" s="4" t="s">
        <v>183</v>
      </c>
      <c r="K126" s="1" t="s">
        <v>166</v>
      </c>
      <c r="L126" s="1">
        <v>0</v>
      </c>
      <c r="P126" s="1"/>
      <c r="Q126" s="5"/>
    </row>
    <row r="127" spans="1:17" ht="12.75">
      <c r="A127" s="24" t="s">
        <v>235</v>
      </c>
      <c r="B127" s="25" t="s">
        <v>235</v>
      </c>
      <c r="C127" s="26" t="s">
        <v>130</v>
      </c>
      <c r="D127" s="50"/>
      <c r="E127" s="13" t="s">
        <v>117</v>
      </c>
      <c r="F127" s="19">
        <v>90000</v>
      </c>
      <c r="G127" s="19">
        <v>90000</v>
      </c>
      <c r="H127" s="19">
        <v>90000</v>
      </c>
      <c r="I127" s="33">
        <v>100000</v>
      </c>
      <c r="J127" s="4" t="s">
        <v>183</v>
      </c>
      <c r="K127" s="1" t="s">
        <v>166</v>
      </c>
      <c r="L127" s="1">
        <v>0</v>
      </c>
      <c r="P127" s="1"/>
      <c r="Q127" s="5"/>
    </row>
    <row r="128" spans="1:17" ht="12.75">
      <c r="A128" s="24">
        <v>50</v>
      </c>
      <c r="B128" s="25" t="s">
        <v>352</v>
      </c>
      <c r="C128" s="26" t="s">
        <v>129</v>
      </c>
      <c r="D128" s="50"/>
      <c r="E128" s="13" t="s">
        <v>42</v>
      </c>
      <c r="F128" s="19">
        <v>14917000</v>
      </c>
      <c r="G128" s="19">
        <v>14917000</v>
      </c>
      <c r="H128" s="19">
        <v>14917000</v>
      </c>
      <c r="I128" s="33"/>
      <c r="J128" s="4" t="s">
        <v>180</v>
      </c>
      <c r="P128" s="1"/>
      <c r="Q128" s="5"/>
    </row>
    <row r="129" spans="1:17" ht="12.75">
      <c r="A129" s="24">
        <v>60</v>
      </c>
      <c r="B129" s="25">
        <v>40</v>
      </c>
      <c r="C129" s="26">
        <v>92</v>
      </c>
      <c r="D129" s="50"/>
      <c r="E129" s="13" t="s">
        <v>118</v>
      </c>
      <c r="F129" s="19">
        <v>115000</v>
      </c>
      <c r="G129" s="19">
        <v>115000</v>
      </c>
      <c r="H129" s="19">
        <v>115000</v>
      </c>
      <c r="I129" s="33">
        <v>126000</v>
      </c>
      <c r="J129" s="4" t="s">
        <v>187</v>
      </c>
      <c r="P129" s="1"/>
      <c r="Q129" s="5"/>
    </row>
    <row r="130" spans="1:17" ht="12.75">
      <c r="A130" s="24" t="s">
        <v>235</v>
      </c>
      <c r="B130" s="25" t="s">
        <v>353</v>
      </c>
      <c r="C130" s="26" t="s">
        <v>129</v>
      </c>
      <c r="D130" s="50"/>
      <c r="E130" s="13" t="s">
        <v>119</v>
      </c>
      <c r="F130" s="19">
        <v>2963000</v>
      </c>
      <c r="G130" s="19">
        <f>3163000+Príjmy!D50</f>
        <v>3383000</v>
      </c>
      <c r="H130" s="19" t="e">
        <f>3220000+Príjmy!#REF!</f>
        <v>#REF!</v>
      </c>
      <c r="I130" s="33">
        <v>3500000</v>
      </c>
      <c r="J130" s="4" t="s">
        <v>183</v>
      </c>
      <c r="K130" s="8" t="s">
        <v>193</v>
      </c>
      <c r="L130" s="8">
        <f>ROUND(F130*(F$4+F$5),-3)</f>
        <v>190000</v>
      </c>
      <c r="O130" s="92" t="s">
        <v>252</v>
      </c>
      <c r="P130" s="1"/>
      <c r="Q130" s="5"/>
    </row>
    <row r="131" spans="1:17" ht="12.75">
      <c r="A131" s="34">
        <v>50</v>
      </c>
      <c r="B131" s="31" t="s">
        <v>356</v>
      </c>
      <c r="C131" s="35" t="s">
        <v>129</v>
      </c>
      <c r="D131" s="52"/>
      <c r="E131" s="13" t="s">
        <v>120</v>
      </c>
      <c r="F131" s="19">
        <v>76000</v>
      </c>
      <c r="G131" s="19">
        <v>76000</v>
      </c>
      <c r="H131" s="19">
        <v>76000</v>
      </c>
      <c r="I131" s="33">
        <v>75000</v>
      </c>
      <c r="J131" s="4" t="s">
        <v>187</v>
      </c>
      <c r="P131" s="1"/>
      <c r="Q131" s="5"/>
    </row>
    <row r="132" spans="1:17" s="6" customFormat="1" ht="12.75">
      <c r="A132" s="27" t="s">
        <v>114</v>
      </c>
      <c r="B132" s="28" t="s">
        <v>80</v>
      </c>
      <c r="C132" s="29" t="s">
        <v>23</v>
      </c>
      <c r="D132" s="51"/>
      <c r="E132" s="15" t="s">
        <v>121</v>
      </c>
      <c r="F132" s="16">
        <f>SUM(F133:F134)</f>
        <v>1976000</v>
      </c>
      <c r="G132" s="16">
        <f>SUM(G133:G134)</f>
        <v>2030000</v>
      </c>
      <c r="H132" s="16">
        <f>SUM(H133:H134)</f>
        <v>2030000</v>
      </c>
      <c r="I132" s="16">
        <f>SUM(I133:I134)</f>
        <v>2243000</v>
      </c>
      <c r="J132" s="36"/>
      <c r="O132" s="94"/>
      <c r="P132" s="1"/>
      <c r="Q132" s="5"/>
    </row>
    <row r="133" spans="1:17" ht="12.75">
      <c r="A133" s="24" t="s">
        <v>235</v>
      </c>
      <c r="B133" s="25" t="s">
        <v>235</v>
      </c>
      <c r="C133" s="26" t="s">
        <v>131</v>
      </c>
      <c r="D133" s="50"/>
      <c r="E133" s="13" t="s">
        <v>122</v>
      </c>
      <c r="F133" s="19">
        <v>30000</v>
      </c>
      <c r="G133" s="19">
        <v>30000</v>
      </c>
      <c r="H133" s="19">
        <v>30000</v>
      </c>
      <c r="I133" s="33">
        <v>50000</v>
      </c>
      <c r="J133" s="4" t="s">
        <v>183</v>
      </c>
      <c r="K133" s="1" t="s">
        <v>166</v>
      </c>
      <c r="L133" s="1">
        <v>0</v>
      </c>
      <c r="P133" s="1"/>
      <c r="Q133" s="5"/>
    </row>
    <row r="134" spans="1:17" ht="12.75">
      <c r="A134" s="34" t="s">
        <v>235</v>
      </c>
      <c r="B134" s="31" t="s">
        <v>357</v>
      </c>
      <c r="C134" s="35" t="s">
        <v>129</v>
      </c>
      <c r="D134" s="52"/>
      <c r="E134" s="13" t="s">
        <v>123</v>
      </c>
      <c r="F134" s="19">
        <v>1946000</v>
      </c>
      <c r="G134" s="19">
        <v>2000000</v>
      </c>
      <c r="H134" s="19">
        <v>2000000</v>
      </c>
      <c r="I134" s="33">
        <f>2243000-50000</f>
        <v>2193000</v>
      </c>
      <c r="J134" s="4" t="s">
        <v>187</v>
      </c>
      <c r="P134" s="1"/>
      <c r="Q134" s="5"/>
    </row>
    <row r="135" spans="1:17" s="6" customFormat="1" ht="12.75">
      <c r="A135" s="27" t="s">
        <v>114</v>
      </c>
      <c r="B135" s="28" t="s">
        <v>113</v>
      </c>
      <c r="C135" s="29"/>
      <c r="D135" s="51"/>
      <c r="E135" s="15" t="s">
        <v>124</v>
      </c>
      <c r="F135" s="16">
        <f>F136</f>
        <v>10000</v>
      </c>
      <c r="G135" s="16">
        <f>G136</f>
        <v>10000</v>
      </c>
      <c r="H135" s="16">
        <f>H136</f>
        <v>10000</v>
      </c>
      <c r="I135" s="16">
        <f>I136+I137</f>
        <v>60000</v>
      </c>
      <c r="J135" s="36"/>
      <c r="O135" s="94"/>
      <c r="P135" s="1"/>
      <c r="Q135" s="5"/>
    </row>
    <row r="136" spans="1:17" ht="12.75">
      <c r="A136" s="24" t="s">
        <v>235</v>
      </c>
      <c r="B136" s="25" t="s">
        <v>235</v>
      </c>
      <c r="C136" s="26" t="s">
        <v>133</v>
      </c>
      <c r="D136" s="50"/>
      <c r="E136" s="13" t="s">
        <v>125</v>
      </c>
      <c r="F136" s="19">
        <v>10000</v>
      </c>
      <c r="G136" s="19">
        <v>10000</v>
      </c>
      <c r="H136" s="19">
        <v>10000</v>
      </c>
      <c r="I136" s="33">
        <v>10000</v>
      </c>
      <c r="J136" s="4" t="s">
        <v>183</v>
      </c>
      <c r="K136" s="1" t="s">
        <v>166</v>
      </c>
      <c r="L136" s="1">
        <v>0</v>
      </c>
      <c r="P136" s="1"/>
      <c r="Q136" s="5"/>
    </row>
    <row r="137" spans="1:17" ht="12.75">
      <c r="A137" s="24" t="s">
        <v>235</v>
      </c>
      <c r="B137" s="25" t="s">
        <v>235</v>
      </c>
      <c r="C137" s="26" t="s">
        <v>134</v>
      </c>
      <c r="D137" s="50"/>
      <c r="E137" s="13" t="s">
        <v>524</v>
      </c>
      <c r="F137" s="19"/>
      <c r="G137" s="19"/>
      <c r="H137" s="19"/>
      <c r="I137" s="33">
        <v>50000</v>
      </c>
      <c r="J137" s="4"/>
      <c r="K137" s="1"/>
      <c r="L137" s="1"/>
      <c r="P137" s="1"/>
      <c r="Q137" s="5"/>
    </row>
    <row r="138" spans="1:17" ht="12.75">
      <c r="A138" s="27" t="s">
        <v>114</v>
      </c>
      <c r="B138" s="28" t="s">
        <v>52</v>
      </c>
      <c r="C138" s="26"/>
      <c r="D138" s="50"/>
      <c r="E138" s="15" t="s">
        <v>237</v>
      </c>
      <c r="F138" s="19"/>
      <c r="G138" s="19"/>
      <c r="H138" s="19"/>
      <c r="I138" s="16">
        <f>SUM(I139)</f>
        <v>1124000</v>
      </c>
      <c r="J138" s="4"/>
      <c r="K138" s="1"/>
      <c r="L138" s="1"/>
      <c r="P138" s="1"/>
      <c r="Q138" s="5"/>
    </row>
    <row r="139" spans="1:17" ht="12.75">
      <c r="A139" s="24" t="s">
        <v>235</v>
      </c>
      <c r="B139" s="25" t="s">
        <v>358</v>
      </c>
      <c r="C139" s="26" t="s">
        <v>129</v>
      </c>
      <c r="D139" s="50"/>
      <c r="E139" s="13" t="s">
        <v>236</v>
      </c>
      <c r="F139" s="19"/>
      <c r="G139" s="19"/>
      <c r="H139" s="19"/>
      <c r="I139" s="33">
        <v>1124000</v>
      </c>
      <c r="J139" s="4"/>
      <c r="K139" s="1"/>
      <c r="L139" s="1"/>
      <c r="P139" s="1"/>
      <c r="Q139" s="5"/>
    </row>
    <row r="140" spans="1:17" ht="12.75">
      <c r="A140" s="24"/>
      <c r="B140" s="25"/>
      <c r="C140" s="26"/>
      <c r="D140" s="50"/>
      <c r="E140" s="15" t="s">
        <v>17</v>
      </c>
      <c r="F140" s="16">
        <f>F7+F33+F36+F44+F46+F48+F50+F54+F57+F62+F66+F68+F70+F77+F79+F82+F86+F91+F94+F103+F106+F125+F132+F135</f>
        <v>198619000</v>
      </c>
      <c r="G140" s="16">
        <f>G7+G33+G36+G44+G46+G48+G50+G54+G57+G62+G66+G70+G77+G79+G82+G86+G91+G94+G103+G106+G125+G132+G135</f>
        <v>190359000</v>
      </c>
      <c r="H140" s="16" t="e">
        <f>H7+H33+H36+H44+H46+H48+H50+H54+H57+H62+H66+H70+H77+H79+H82+H86+H91+H94+H103+H106+H125+H132+H135</f>
        <v>#REF!</v>
      </c>
      <c r="I140" s="16">
        <f>I7+I33+I36+I44+I46+I48+I50+I54+I57+I62+I66+I68+I70+I77+I79+I82+I86+I91+I94+I103+I106+I125+I132+I135</f>
        <v>111287000</v>
      </c>
      <c r="J140" s="4"/>
      <c r="P140" s="1"/>
      <c r="Q140" s="5"/>
    </row>
    <row r="141" spans="1:17" ht="12.75">
      <c r="A141" s="31"/>
      <c r="B141" s="31"/>
      <c r="C141" s="31"/>
      <c r="D141" s="31"/>
      <c r="E141" s="96"/>
      <c r="F141" s="47"/>
      <c r="G141" s="47"/>
      <c r="H141" s="47"/>
      <c r="I141" s="47"/>
      <c r="J141" s="4"/>
      <c r="P141" s="1"/>
      <c r="Q141" s="5"/>
    </row>
    <row r="142" spans="1:10" ht="12.75">
      <c r="A142" s="6" t="s">
        <v>287</v>
      </c>
      <c r="B142" s="31"/>
      <c r="C142" s="31"/>
      <c r="D142" s="31"/>
      <c r="E142" s="32"/>
      <c r="F142" s="30">
        <f>SUM(F107:F121)+F128</f>
        <v>105123000</v>
      </c>
      <c r="G142" s="30">
        <f>SUM(G107:G121)+G128</f>
        <v>108104000</v>
      </c>
      <c r="H142" s="30">
        <f>SUM(H107:H109)+SUM(H112:H121)+H124+H128+450000+H20+615000+H76</f>
        <v>72165000</v>
      </c>
      <c r="I142" s="30">
        <f>I144+I147+I159</f>
        <v>119140000</v>
      </c>
      <c r="J142" s="4"/>
    </row>
    <row r="143" spans="1:10" ht="12.75">
      <c r="A143" s="31"/>
      <c r="B143" s="31"/>
      <c r="C143" s="31"/>
      <c r="D143" s="31"/>
      <c r="E143" s="32"/>
      <c r="F143" s="30"/>
      <c r="G143" s="30"/>
      <c r="H143" s="30"/>
      <c r="I143" s="30"/>
      <c r="J143" s="4"/>
    </row>
    <row r="144" spans="1:17" ht="12.75">
      <c r="A144" s="7" t="s">
        <v>261</v>
      </c>
      <c r="B144" s="2"/>
      <c r="C144"/>
      <c r="D144"/>
      <c r="E144"/>
      <c r="F144" s="1">
        <f>F128</f>
        <v>14917000</v>
      </c>
      <c r="G144" s="1"/>
      <c r="I144" s="47">
        <f>SUM(I145:I146)</f>
        <v>21164000</v>
      </c>
      <c r="J144" s="4"/>
      <c r="P144" s="4">
        <f>I144-Príjmy!H86+Kapitálové!E76</f>
        <v>15469000</v>
      </c>
      <c r="Q144" s="2" t="s">
        <v>383</v>
      </c>
    </row>
    <row r="145" spans="1:17" ht="12.75">
      <c r="A145" s="2"/>
      <c r="E145" s="13" t="s">
        <v>288</v>
      </c>
      <c r="F145" s="21"/>
      <c r="G145" s="21"/>
      <c r="H145" s="21"/>
      <c r="I145" s="21">
        <v>11189000</v>
      </c>
      <c r="J145" s="21"/>
      <c r="P145" s="4">
        <f>Príjmy!H67</f>
        <v>15469000</v>
      </c>
      <c r="Q145" s="2" t="s">
        <v>382</v>
      </c>
    </row>
    <row r="146" spans="1:17" ht="12.75">
      <c r="A146" s="2"/>
      <c r="E146" s="13" t="s">
        <v>289</v>
      </c>
      <c r="F146" s="21"/>
      <c r="G146" s="21"/>
      <c r="H146" s="21"/>
      <c r="I146" s="21">
        <v>9975000</v>
      </c>
      <c r="J146" s="61"/>
      <c r="P146" s="36">
        <f>P144-P145</f>
        <v>0</v>
      </c>
      <c r="Q146" s="88" t="s">
        <v>381</v>
      </c>
    </row>
    <row r="147" spans="1:17" ht="12.75">
      <c r="A147" s="7" t="s">
        <v>262</v>
      </c>
      <c r="B147" s="2"/>
      <c r="C147"/>
      <c r="D147"/>
      <c r="E147"/>
      <c r="F147" s="1">
        <f>SUM(F107:F109)+SUM(F112:F121)</f>
        <v>52953000</v>
      </c>
      <c r="G147" s="1"/>
      <c r="I147" s="5">
        <f>SUM(I148:I158)</f>
        <v>54830000</v>
      </c>
      <c r="J147" s="4"/>
      <c r="P147" s="4">
        <f>I148+I149+I151+I152+I154+I155</f>
        <v>50922000</v>
      </c>
      <c r="Q147" s="2" t="s">
        <v>500</v>
      </c>
    </row>
    <row r="148" spans="1:17" ht="12.75">
      <c r="A148" s="2"/>
      <c r="E148" s="13" t="s">
        <v>290</v>
      </c>
      <c r="F148" s="21"/>
      <c r="G148" s="21"/>
      <c r="H148" s="21"/>
      <c r="I148" s="21">
        <v>10692000</v>
      </c>
      <c r="J148" s="21"/>
      <c r="P148" s="4">
        <f>P147-Príjmy!H88</f>
        <v>50734000</v>
      </c>
      <c r="Q148" s="2" t="s">
        <v>379</v>
      </c>
    </row>
    <row r="149" spans="1:17" ht="12.75">
      <c r="A149" s="2"/>
      <c r="E149" s="13" t="s">
        <v>291</v>
      </c>
      <c r="F149" s="21"/>
      <c r="G149" s="21"/>
      <c r="H149" s="21"/>
      <c r="I149" s="21">
        <f>ROUND(2909000*0.95,-3)+Príjmy!H89</f>
        <v>2834000</v>
      </c>
      <c r="J149" s="21"/>
      <c r="P149" s="4">
        <f>Príjmy!H74</f>
        <v>51291000</v>
      </c>
      <c r="Q149" s="2" t="s">
        <v>380</v>
      </c>
    </row>
    <row r="150" spans="1:20" ht="12.75">
      <c r="A150" s="2"/>
      <c r="E150" s="13" t="s">
        <v>419</v>
      </c>
      <c r="F150" s="21"/>
      <c r="G150" s="90"/>
      <c r="H150" s="21"/>
      <c r="I150" s="21">
        <v>808000</v>
      </c>
      <c r="J150" s="21"/>
      <c r="P150" s="36">
        <f>P149-P148</f>
        <v>557000</v>
      </c>
      <c r="Q150" s="88" t="s">
        <v>497</v>
      </c>
      <c r="T150" s="89">
        <f>P150/P149</f>
        <v>0.010859604998927687</v>
      </c>
    </row>
    <row r="151" spans="1:17" ht="12.75">
      <c r="A151" s="2"/>
      <c r="E151" s="13" t="s">
        <v>292</v>
      </c>
      <c r="F151" s="21"/>
      <c r="G151" s="21"/>
      <c r="H151" s="21"/>
      <c r="I151" s="21">
        <v>16358000</v>
      </c>
      <c r="J151" s="21"/>
      <c r="P151" s="2"/>
      <c r="Q151" s="2"/>
    </row>
    <row r="152" spans="1:17" ht="12.75">
      <c r="A152" s="2"/>
      <c r="E152" s="13" t="s">
        <v>305</v>
      </c>
      <c r="F152" s="21"/>
      <c r="G152" s="21"/>
      <c r="H152" s="21"/>
      <c r="I152" s="21">
        <f>ROUND(4586000*0.95,-3)+Príjmy!H90</f>
        <v>4397000</v>
      </c>
      <c r="J152" s="21"/>
      <c r="P152" s="4">
        <f>I150+I153+I156</f>
        <v>3351000</v>
      </c>
      <c r="Q152" s="2" t="s">
        <v>501</v>
      </c>
    </row>
    <row r="153" spans="1:17" ht="12.75">
      <c r="A153" s="2"/>
      <c r="E153" s="13" t="s">
        <v>420</v>
      </c>
      <c r="F153" s="21"/>
      <c r="G153" s="90"/>
      <c r="H153" s="21"/>
      <c r="I153" s="21">
        <v>1184000</v>
      </c>
      <c r="J153" s="21"/>
      <c r="P153" s="4">
        <f>I174+I177+I180+I183+I186+I189</f>
        <v>126000</v>
      </c>
      <c r="Q153" s="2" t="s">
        <v>502</v>
      </c>
    </row>
    <row r="154" spans="1:17" ht="12.75">
      <c r="A154" s="2"/>
      <c r="E154" s="13" t="s">
        <v>296</v>
      </c>
      <c r="F154" s="21"/>
      <c r="G154" s="21"/>
      <c r="H154" s="21"/>
      <c r="I154" s="21">
        <v>13079000</v>
      </c>
      <c r="J154" s="21"/>
      <c r="P154" s="36">
        <f>SUM(P152:P153)</f>
        <v>3477000</v>
      </c>
      <c r="Q154" s="2" t="s">
        <v>503</v>
      </c>
    </row>
    <row r="155" spans="1:16" ht="12.75">
      <c r="A155" s="2"/>
      <c r="E155" s="13" t="s">
        <v>306</v>
      </c>
      <c r="F155" s="21"/>
      <c r="G155" s="21"/>
      <c r="H155" s="21"/>
      <c r="I155" s="21">
        <f>ROUND(3667000*0.95,-3)+Príjmy!H91</f>
        <v>3562000</v>
      </c>
      <c r="J155" s="61"/>
      <c r="O155" s="93"/>
      <c r="P155" s="2"/>
    </row>
    <row r="156" spans="1:16" ht="12.75">
      <c r="A156" s="2"/>
      <c r="E156" s="13" t="s">
        <v>421</v>
      </c>
      <c r="F156" s="21"/>
      <c r="G156" s="90"/>
      <c r="H156" s="21"/>
      <c r="I156" s="21">
        <v>1359000</v>
      </c>
      <c r="J156" s="61"/>
      <c r="O156" s="37"/>
      <c r="P156" s="2"/>
    </row>
    <row r="157" spans="1:16" ht="12.75">
      <c r="A157" s="2"/>
      <c r="E157" s="13" t="s">
        <v>498</v>
      </c>
      <c r="F157" s="21"/>
      <c r="G157" s="90"/>
      <c r="H157" s="21"/>
      <c r="I157" s="21">
        <v>0</v>
      </c>
      <c r="J157" s="61"/>
      <c r="O157" s="37"/>
      <c r="P157" s="2"/>
    </row>
    <row r="158" spans="1:16" ht="12.75">
      <c r="A158" s="2"/>
      <c r="E158" s="13" t="s">
        <v>499</v>
      </c>
      <c r="F158" s="21"/>
      <c r="G158" s="90"/>
      <c r="H158" s="21"/>
      <c r="I158" s="21">
        <f>P150</f>
        <v>557000</v>
      </c>
      <c r="J158" s="61"/>
      <c r="O158" s="37" t="s">
        <v>437</v>
      </c>
      <c r="P158" s="2"/>
    </row>
    <row r="159" spans="1:17" ht="12.75">
      <c r="A159" s="7" t="s">
        <v>265</v>
      </c>
      <c r="B159" s="2"/>
      <c r="C159"/>
      <c r="D159"/>
      <c r="E159"/>
      <c r="F159" s="1">
        <f>SUM(F110:F111)</f>
        <v>37253000</v>
      </c>
      <c r="G159" s="1"/>
      <c r="I159" s="5">
        <f>SUM(I160:I195)</f>
        <v>43146000</v>
      </c>
      <c r="O159" s="5">
        <f>SUM(O160:O195)</f>
        <v>45710000</v>
      </c>
      <c r="P159" s="4">
        <f>I159-Príjmy!H92-P153</f>
        <v>39153000</v>
      </c>
      <c r="Q159" s="2" t="s">
        <v>504</v>
      </c>
    </row>
    <row r="160" spans="1:17" ht="12.75">
      <c r="A160" s="2"/>
      <c r="E160" s="13" t="s">
        <v>297</v>
      </c>
      <c r="F160" s="21"/>
      <c r="G160" s="21"/>
      <c r="H160" s="21"/>
      <c r="I160" s="21">
        <v>2036000</v>
      </c>
      <c r="J160" s="21"/>
      <c r="O160" s="21">
        <v>2081000</v>
      </c>
      <c r="P160" s="4"/>
      <c r="Q160" s="2"/>
    </row>
    <row r="161" spans="1:17" ht="12.75">
      <c r="A161" s="2"/>
      <c r="E161" s="13" t="s">
        <v>307</v>
      </c>
      <c r="F161" s="21"/>
      <c r="G161" s="21"/>
      <c r="H161" s="21"/>
      <c r="I161" s="21">
        <v>453000</v>
      </c>
      <c r="J161" s="21"/>
      <c r="O161" s="21">
        <v>1228000</v>
      </c>
      <c r="P161" s="4"/>
      <c r="Q161" s="2"/>
    </row>
    <row r="162" spans="1:16" ht="12.75">
      <c r="A162" s="2"/>
      <c r="E162" s="13" t="s">
        <v>298</v>
      </c>
      <c r="F162" s="21"/>
      <c r="G162" s="21"/>
      <c r="H162" s="21"/>
      <c r="I162" s="21">
        <v>1595000</v>
      </c>
      <c r="J162" s="21"/>
      <c r="O162" s="21">
        <v>1374000</v>
      </c>
      <c r="P162" s="2"/>
    </row>
    <row r="163" spans="1:16" ht="12.75">
      <c r="A163" s="2"/>
      <c r="E163" s="13" t="s">
        <v>308</v>
      </c>
      <c r="F163" s="21"/>
      <c r="G163" s="21"/>
      <c r="H163" s="21"/>
      <c r="I163" s="21">
        <v>285000</v>
      </c>
      <c r="J163" s="21"/>
      <c r="O163" s="21">
        <v>1100000</v>
      </c>
      <c r="P163" s="2"/>
    </row>
    <row r="164" spans="1:16" ht="12.75">
      <c r="A164" s="2"/>
      <c r="E164" s="13" t="s">
        <v>516</v>
      </c>
      <c r="F164" s="21"/>
      <c r="G164" s="21"/>
      <c r="H164" s="21"/>
      <c r="I164" s="21">
        <v>0</v>
      </c>
      <c r="J164" s="21"/>
      <c r="O164" s="21"/>
      <c r="P164" s="2"/>
    </row>
    <row r="165" spans="1:16" ht="12.75">
      <c r="A165" s="2"/>
      <c r="E165" s="13" t="s">
        <v>517</v>
      </c>
      <c r="F165" s="21"/>
      <c r="G165" s="21"/>
      <c r="H165" s="21"/>
      <c r="I165" s="21">
        <v>70000</v>
      </c>
      <c r="J165" s="21"/>
      <c r="O165" s="21"/>
      <c r="P165" s="2"/>
    </row>
    <row r="166" spans="1:15" ht="12.75">
      <c r="A166" s="2"/>
      <c r="E166" s="13" t="s">
        <v>299</v>
      </c>
      <c r="F166" s="21"/>
      <c r="G166" s="21"/>
      <c r="H166" s="21"/>
      <c r="I166" s="21">
        <v>452000</v>
      </c>
      <c r="J166" s="21"/>
      <c r="O166" s="21">
        <v>843000</v>
      </c>
    </row>
    <row r="167" spans="1:15" ht="12.75">
      <c r="A167" s="2"/>
      <c r="E167" s="13" t="s">
        <v>309</v>
      </c>
      <c r="F167" s="21"/>
      <c r="G167" s="21"/>
      <c r="H167" s="21"/>
      <c r="I167" s="21">
        <v>101000</v>
      </c>
      <c r="J167" s="21"/>
      <c r="O167" s="21">
        <v>55000</v>
      </c>
    </row>
    <row r="168" spans="1:15" ht="12.75">
      <c r="A168" s="2"/>
      <c r="E168" s="13" t="s">
        <v>300</v>
      </c>
      <c r="F168" s="21"/>
      <c r="G168" s="21"/>
      <c r="H168" s="21"/>
      <c r="I168" s="21">
        <v>1051000</v>
      </c>
      <c r="J168" s="21"/>
      <c r="O168" s="21">
        <v>1319000</v>
      </c>
    </row>
    <row r="169" spans="1:15" ht="12.75">
      <c r="A169" s="2"/>
      <c r="E169" s="13" t="s">
        <v>310</v>
      </c>
      <c r="F169" s="21"/>
      <c r="G169" s="21"/>
      <c r="H169" s="21"/>
      <c r="I169" s="21">
        <v>234000</v>
      </c>
      <c r="J169" s="21"/>
      <c r="O169" s="21">
        <v>217000</v>
      </c>
    </row>
    <row r="170" spans="1:15" ht="12.75">
      <c r="A170" s="2"/>
      <c r="E170" s="13" t="s">
        <v>301</v>
      </c>
      <c r="F170" s="21"/>
      <c r="G170" s="21"/>
      <c r="H170" s="21"/>
      <c r="I170" s="21">
        <v>538000</v>
      </c>
      <c r="J170" s="21"/>
      <c r="O170" s="21">
        <v>774000</v>
      </c>
    </row>
    <row r="171" spans="1:15" ht="12.75">
      <c r="A171" s="2"/>
      <c r="E171" s="13" t="s">
        <v>311</v>
      </c>
      <c r="F171" s="21"/>
      <c r="G171" s="21"/>
      <c r="H171" s="21"/>
      <c r="I171" s="21">
        <v>119000</v>
      </c>
      <c r="J171" s="21"/>
      <c r="O171" s="21">
        <v>151000</v>
      </c>
    </row>
    <row r="172" spans="1:15" ht="12.75">
      <c r="A172" s="2"/>
      <c r="E172" s="13" t="s">
        <v>422</v>
      </c>
      <c r="F172" s="21"/>
      <c r="G172" s="21"/>
      <c r="H172" s="21"/>
      <c r="I172" s="21">
        <v>6150000</v>
      </c>
      <c r="J172" s="21"/>
      <c r="O172" s="21">
        <v>6329000</v>
      </c>
    </row>
    <row r="173" spans="1:15" ht="12.75">
      <c r="A173" s="2"/>
      <c r="E173" s="13" t="s">
        <v>415</v>
      </c>
      <c r="F173" s="21"/>
      <c r="G173" s="21"/>
      <c r="H173" s="21"/>
      <c r="I173" s="21">
        <v>1367000</v>
      </c>
      <c r="J173" s="21"/>
      <c r="O173" s="21">
        <v>1800000</v>
      </c>
    </row>
    <row r="174" spans="1:15" ht="12.75">
      <c r="A174" s="2"/>
      <c r="E174" s="13" t="s">
        <v>423</v>
      </c>
      <c r="F174" s="21"/>
      <c r="G174" s="21"/>
      <c r="H174" s="21"/>
      <c r="I174" s="21">
        <v>38000</v>
      </c>
      <c r="J174" s="21"/>
      <c r="O174" s="21"/>
    </row>
    <row r="175" spans="1:15" ht="12.75">
      <c r="A175" s="2"/>
      <c r="E175" s="13" t="s">
        <v>425</v>
      </c>
      <c r="F175" s="21"/>
      <c r="G175" s="21"/>
      <c r="H175" s="21"/>
      <c r="I175" s="21">
        <v>3963000</v>
      </c>
      <c r="J175" s="21"/>
      <c r="O175" s="21">
        <v>4121000</v>
      </c>
    </row>
    <row r="176" spans="1:15" ht="12.75">
      <c r="A176" s="2"/>
      <c r="E176" s="13" t="s">
        <v>416</v>
      </c>
      <c r="F176" s="21"/>
      <c r="G176" s="21"/>
      <c r="H176" s="21"/>
      <c r="I176" s="21">
        <v>881000</v>
      </c>
      <c r="J176" s="21"/>
      <c r="O176" s="21">
        <v>1104000</v>
      </c>
    </row>
    <row r="177" spans="1:15" ht="12.75">
      <c r="A177" s="2"/>
      <c r="E177" s="13" t="s">
        <v>424</v>
      </c>
      <c r="F177" s="21"/>
      <c r="G177" s="21"/>
      <c r="H177" s="21"/>
      <c r="I177" s="21">
        <v>22000</v>
      </c>
      <c r="J177" s="21"/>
      <c r="O177" s="21"/>
    </row>
    <row r="178" spans="1:15" ht="12.75">
      <c r="A178" s="2"/>
      <c r="E178" s="13" t="s">
        <v>426</v>
      </c>
      <c r="F178" s="21"/>
      <c r="G178" s="21"/>
      <c r="H178" s="21"/>
      <c r="I178" s="21">
        <v>2194000</v>
      </c>
      <c r="J178" s="21"/>
      <c r="O178" s="21">
        <v>2206000</v>
      </c>
    </row>
    <row r="179" spans="1:15" ht="12.75">
      <c r="A179" s="2"/>
      <c r="E179" s="13" t="s">
        <v>427</v>
      </c>
      <c r="F179" s="21"/>
      <c r="G179" s="21"/>
      <c r="H179" s="21"/>
      <c r="I179" s="21">
        <v>487000</v>
      </c>
      <c r="J179" s="21"/>
      <c r="O179" s="21">
        <v>637000</v>
      </c>
    </row>
    <row r="180" spans="1:15" ht="12.75">
      <c r="A180" s="2"/>
      <c r="E180" s="13" t="s">
        <v>428</v>
      </c>
      <c r="F180" s="21"/>
      <c r="G180" s="21"/>
      <c r="H180" s="21"/>
      <c r="I180" s="21">
        <v>6000</v>
      </c>
      <c r="J180" s="21"/>
      <c r="O180" s="21"/>
    </row>
    <row r="181" spans="1:15" ht="12.75">
      <c r="A181" s="2"/>
      <c r="E181" s="13" t="s">
        <v>429</v>
      </c>
      <c r="F181" s="21"/>
      <c r="G181" s="21"/>
      <c r="H181" s="21"/>
      <c r="I181" s="21">
        <v>2988000</v>
      </c>
      <c r="J181" s="21"/>
      <c r="O181" s="21">
        <v>3477000</v>
      </c>
    </row>
    <row r="182" spans="1:15" ht="12.75">
      <c r="A182" s="2"/>
      <c r="E182" s="13" t="s">
        <v>418</v>
      </c>
      <c r="F182" s="21"/>
      <c r="G182" s="21"/>
      <c r="H182" s="21"/>
      <c r="I182" s="21">
        <v>664000</v>
      </c>
      <c r="J182" s="21"/>
      <c r="O182" s="21">
        <v>1090000</v>
      </c>
    </row>
    <row r="183" spans="1:15" ht="12.75">
      <c r="A183" s="2"/>
      <c r="E183" s="13" t="s">
        <v>430</v>
      </c>
      <c r="F183" s="21"/>
      <c r="G183" s="21"/>
      <c r="H183" s="21"/>
      <c r="I183" s="21">
        <v>2000</v>
      </c>
      <c r="J183" s="21"/>
      <c r="O183" s="21"/>
    </row>
    <row r="184" spans="1:16" ht="12.75">
      <c r="A184" s="2"/>
      <c r="E184" s="13" t="s">
        <v>431</v>
      </c>
      <c r="F184" s="21"/>
      <c r="G184" s="21"/>
      <c r="H184" s="21"/>
      <c r="I184" s="21">
        <v>3530000</v>
      </c>
      <c r="J184" s="21"/>
      <c r="O184" s="21">
        <v>3575000</v>
      </c>
      <c r="P184" s="1"/>
    </row>
    <row r="185" spans="1:15" ht="12.75">
      <c r="A185" s="2"/>
      <c r="E185" s="13" t="s">
        <v>417</v>
      </c>
      <c r="F185" s="21"/>
      <c r="G185" s="21"/>
      <c r="H185" s="21"/>
      <c r="I185" s="21">
        <v>785000</v>
      </c>
      <c r="J185" s="21"/>
      <c r="O185" s="21">
        <v>1321000</v>
      </c>
    </row>
    <row r="186" spans="1:15" ht="12.75">
      <c r="A186" s="2"/>
      <c r="E186" s="13" t="s">
        <v>432</v>
      </c>
      <c r="F186" s="21"/>
      <c r="G186" s="21"/>
      <c r="H186" s="21"/>
      <c r="I186" s="21">
        <v>42000</v>
      </c>
      <c r="J186" s="21"/>
      <c r="O186" s="21"/>
    </row>
    <row r="187" spans="1:15" ht="12.75">
      <c r="A187" s="2"/>
      <c r="E187" s="13" t="s">
        <v>302</v>
      </c>
      <c r="F187" s="21"/>
      <c r="G187" s="21"/>
      <c r="H187" s="21"/>
      <c r="I187" s="21">
        <v>2046000</v>
      </c>
      <c r="J187" s="21"/>
      <c r="O187" s="21">
        <v>1500000</v>
      </c>
    </row>
    <row r="188" spans="1:15" ht="12.75">
      <c r="A188" s="2"/>
      <c r="E188" s="13" t="s">
        <v>312</v>
      </c>
      <c r="F188" s="21"/>
      <c r="G188" s="21"/>
      <c r="H188" s="21"/>
      <c r="I188" s="21">
        <v>455000</v>
      </c>
      <c r="J188" s="21"/>
      <c r="O188" s="21">
        <v>835000</v>
      </c>
    </row>
    <row r="189" spans="1:15" ht="12.75">
      <c r="A189" s="2"/>
      <c r="E189" s="13" t="s">
        <v>433</v>
      </c>
      <c r="F189" s="21"/>
      <c r="G189" s="21"/>
      <c r="H189" s="21"/>
      <c r="I189" s="21">
        <v>16000</v>
      </c>
      <c r="J189" s="21"/>
      <c r="O189" s="21"/>
    </row>
    <row r="190" spans="1:15" ht="12.75">
      <c r="A190" s="2"/>
      <c r="E190" s="13" t="s">
        <v>303</v>
      </c>
      <c r="F190" s="21"/>
      <c r="G190" s="21"/>
      <c r="H190" s="21"/>
      <c r="I190" s="21">
        <v>5782000</v>
      </c>
      <c r="J190" s="21"/>
      <c r="O190" s="21">
        <v>5454000</v>
      </c>
    </row>
    <row r="191" spans="1:15" ht="12.75">
      <c r="A191" s="2"/>
      <c r="E191" s="13" t="s">
        <v>313</v>
      </c>
      <c r="F191" s="21"/>
      <c r="G191" s="21"/>
      <c r="H191" s="21"/>
      <c r="I191" s="21">
        <v>1285000</v>
      </c>
      <c r="J191" s="21"/>
      <c r="O191" s="21">
        <v>1594000</v>
      </c>
    </row>
    <row r="192" spans="1:15" ht="12.75">
      <c r="A192" s="2"/>
      <c r="E192" s="13" t="s">
        <v>304</v>
      </c>
      <c r="F192" s="21"/>
      <c r="G192" s="21"/>
      <c r="H192" s="21"/>
      <c r="I192" s="21">
        <v>1240000</v>
      </c>
      <c r="J192" s="21"/>
      <c r="O192" s="21">
        <v>1140000</v>
      </c>
    </row>
    <row r="193" spans="1:15" ht="12.75">
      <c r="A193" s="2"/>
      <c r="E193" s="13" t="s">
        <v>314</v>
      </c>
      <c r="F193" s="21"/>
      <c r="G193" s="21"/>
      <c r="H193" s="21"/>
      <c r="I193" s="21">
        <v>276000</v>
      </c>
      <c r="J193" s="21"/>
      <c r="O193" s="21">
        <v>385000</v>
      </c>
    </row>
    <row r="194" spans="1:15" ht="12.75">
      <c r="A194" s="2"/>
      <c r="E194" s="13" t="s">
        <v>293</v>
      </c>
      <c r="F194" s="21"/>
      <c r="G194" s="21"/>
      <c r="H194" s="21"/>
      <c r="I194" s="21">
        <v>40000</v>
      </c>
      <c r="J194" s="21"/>
      <c r="O194" s="21"/>
    </row>
    <row r="195" spans="1:15" ht="12.75">
      <c r="A195" s="2"/>
      <c r="E195" s="13" t="s">
        <v>440</v>
      </c>
      <c r="F195" s="21"/>
      <c r="G195" s="21"/>
      <c r="H195" s="21"/>
      <c r="I195" s="21">
        <v>1953000</v>
      </c>
      <c r="J195" s="21"/>
      <c r="O195" s="21"/>
    </row>
  </sheetData>
  <printOptions/>
  <pageMargins left="0.75" right="0.75" top="0.52" bottom="0.56" header="0.4921259845" footer="0.4921259845"/>
  <pageSetup fitToHeight="2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4.25390625" style="1" bestFit="1" customWidth="1"/>
    <col min="2" max="2" width="48.00390625" style="1" bestFit="1" customWidth="1"/>
    <col min="3" max="4" width="12.25390625" style="1" hidden="1" customWidth="1"/>
    <col min="5" max="5" width="14.00390625" style="4" customWidth="1"/>
    <col min="6" max="6" width="19.25390625" style="39" customWidth="1"/>
    <col min="7" max="8" width="26.375" style="39" customWidth="1"/>
    <col min="9" max="16384" width="26.375" style="1" customWidth="1"/>
  </cols>
  <sheetData>
    <row r="1" spans="2:6" ht="18">
      <c r="B1" s="99" t="s">
        <v>148</v>
      </c>
      <c r="C1" s="99"/>
      <c r="D1" s="43"/>
      <c r="F1" s="43"/>
    </row>
    <row r="2" spans="2:6" ht="12.75">
      <c r="B2" s="98" t="s">
        <v>145</v>
      </c>
      <c r="C2" s="98"/>
      <c r="D2" s="42"/>
      <c r="F2" s="42"/>
    </row>
    <row r="4" spans="2:6" ht="12.75">
      <c r="B4" s="19" t="s">
        <v>19</v>
      </c>
      <c r="C4" s="60" t="s">
        <v>257</v>
      </c>
      <c r="D4" s="14" t="s">
        <v>199</v>
      </c>
      <c r="E4" s="97" t="str">
        <f>Príjmy!$H$6</f>
        <v>2006 schv.</v>
      </c>
      <c r="F4" s="39" t="s">
        <v>233</v>
      </c>
    </row>
    <row r="5" spans="2:6" ht="12.75">
      <c r="B5" s="19" t="s">
        <v>196</v>
      </c>
      <c r="C5" s="44">
        <v>3000000</v>
      </c>
      <c r="D5" s="44">
        <v>3000000</v>
      </c>
      <c r="E5" s="33">
        <v>3000000</v>
      </c>
      <c r="F5" s="39" t="s">
        <v>183</v>
      </c>
    </row>
    <row r="6" spans="2:5" ht="12.75">
      <c r="B6" s="19" t="s">
        <v>240</v>
      </c>
      <c r="C6" s="44"/>
      <c r="D6" s="44"/>
      <c r="E6" s="33">
        <v>300000</v>
      </c>
    </row>
    <row r="7" spans="2:5" ht="12.75">
      <c r="B7" s="19" t="s">
        <v>402</v>
      </c>
      <c r="C7" s="44"/>
      <c r="D7" s="44"/>
      <c r="E7" s="33">
        <v>9140000</v>
      </c>
    </row>
    <row r="8" spans="2:5" ht="12.75">
      <c r="B8" s="19" t="s">
        <v>403</v>
      </c>
      <c r="C8" s="44"/>
      <c r="D8" s="44"/>
      <c r="E8" s="33">
        <v>12000000</v>
      </c>
    </row>
    <row r="9" spans="2:5" ht="12.75">
      <c r="B9" s="19" t="s">
        <v>412</v>
      </c>
      <c r="C9" s="44"/>
      <c r="D9" s="44"/>
      <c r="E9" s="33">
        <v>143000</v>
      </c>
    </row>
    <row r="10" spans="2:5" ht="12.75">
      <c r="B10" s="33" t="s">
        <v>436</v>
      </c>
      <c r="C10" s="44"/>
      <c r="D10" s="44"/>
      <c r="E10" s="33">
        <v>150000</v>
      </c>
    </row>
    <row r="11" spans="2:5" ht="12.75">
      <c r="B11" s="16" t="s">
        <v>17</v>
      </c>
      <c r="C11" s="16">
        <f>SUM(C5:C10)</f>
        <v>3000000</v>
      </c>
      <c r="D11" s="16">
        <f>SUM(D5:D10)</f>
        <v>3000000</v>
      </c>
      <c r="E11" s="16">
        <f>SUM(E5:E10)</f>
        <v>24733000</v>
      </c>
    </row>
    <row r="13" spans="2:6" ht="18">
      <c r="B13" s="99" t="s">
        <v>146</v>
      </c>
      <c r="C13" s="99"/>
      <c r="D13" s="43"/>
      <c r="F13" s="4"/>
    </row>
    <row r="14" spans="2:6" ht="12.75">
      <c r="B14" s="98" t="s">
        <v>145</v>
      </c>
      <c r="C14" s="98"/>
      <c r="D14" s="42"/>
      <c r="F14" s="4"/>
    </row>
    <row r="15" ht="12.75">
      <c r="F15" s="4"/>
    </row>
    <row r="16" spans="1:7" ht="12.75">
      <c r="A16" s="19" t="s">
        <v>200</v>
      </c>
      <c r="B16" s="19" t="s">
        <v>19</v>
      </c>
      <c r="C16" s="60" t="s">
        <v>257</v>
      </c>
      <c r="D16" s="14" t="s">
        <v>199</v>
      </c>
      <c r="E16" s="97" t="str">
        <f>Príjmy!$H$6</f>
        <v>2006 schv.</v>
      </c>
      <c r="G16" s="1"/>
    </row>
    <row r="17" spans="1:7" ht="12.75">
      <c r="A17" s="19"/>
      <c r="B17" s="19" t="s">
        <v>241</v>
      </c>
      <c r="C17" s="19"/>
      <c r="D17" s="56"/>
      <c r="E17" s="33">
        <f>1500000+1321000</f>
        <v>2821000</v>
      </c>
      <c r="G17" s="1"/>
    </row>
    <row r="18" spans="1:7" ht="12.75">
      <c r="A18" s="19" t="s">
        <v>201</v>
      </c>
      <c r="B18" s="19" t="s">
        <v>494</v>
      </c>
      <c r="C18" s="19"/>
      <c r="D18" s="56"/>
      <c r="E18" s="33">
        <v>21500000</v>
      </c>
      <c r="G18" s="1"/>
    </row>
    <row r="19" spans="1:7" ht="12.75">
      <c r="A19" s="19" t="s">
        <v>209</v>
      </c>
      <c r="B19" s="19" t="s">
        <v>495</v>
      </c>
      <c r="C19" s="19"/>
      <c r="D19" s="56"/>
      <c r="E19" s="33">
        <v>4305000</v>
      </c>
      <c r="G19" s="1"/>
    </row>
    <row r="20" spans="1:7" ht="12.75">
      <c r="A20" s="33" t="s">
        <v>209</v>
      </c>
      <c r="B20" s="33" t="s">
        <v>468</v>
      </c>
      <c r="C20" s="16"/>
      <c r="D20" s="58"/>
      <c r="E20" s="33">
        <v>500000</v>
      </c>
      <c r="G20" s="1"/>
    </row>
    <row r="21" spans="1:7" ht="12.75">
      <c r="A21" s="33" t="s">
        <v>209</v>
      </c>
      <c r="B21" s="19" t="s">
        <v>469</v>
      </c>
      <c r="C21" s="19"/>
      <c r="D21" s="56"/>
      <c r="E21" s="33">
        <v>500000</v>
      </c>
      <c r="G21" s="1"/>
    </row>
    <row r="22" spans="1:7" ht="12.75">
      <c r="A22" s="33" t="s">
        <v>209</v>
      </c>
      <c r="B22" s="19" t="s">
        <v>470</v>
      </c>
      <c r="C22" s="19"/>
      <c r="D22" s="56"/>
      <c r="E22" s="33">
        <v>490000</v>
      </c>
      <c r="G22" s="1"/>
    </row>
    <row r="23" spans="1:7" ht="12.75">
      <c r="A23" s="33" t="s">
        <v>209</v>
      </c>
      <c r="B23" s="19" t="s">
        <v>471</v>
      </c>
      <c r="C23" s="19"/>
      <c r="D23" s="56"/>
      <c r="E23" s="33">
        <v>800000</v>
      </c>
      <c r="G23" s="1"/>
    </row>
    <row r="24" spans="1:7" ht="12.75">
      <c r="A24" s="33" t="s">
        <v>209</v>
      </c>
      <c r="B24" s="19" t="s">
        <v>472</v>
      </c>
      <c r="C24" s="19"/>
      <c r="D24" s="56"/>
      <c r="E24" s="33">
        <v>560000</v>
      </c>
      <c r="G24" s="1"/>
    </row>
    <row r="25" spans="1:7" ht="12.75">
      <c r="A25" s="19" t="s">
        <v>201</v>
      </c>
      <c r="B25" s="19" t="s">
        <v>505</v>
      </c>
      <c r="C25" s="19">
        <v>30000</v>
      </c>
      <c r="D25" s="56">
        <v>30000</v>
      </c>
      <c r="E25" s="33">
        <f>380000+200000</f>
        <v>580000</v>
      </c>
      <c r="F25" s="4" t="s">
        <v>254</v>
      </c>
      <c r="G25" s="1"/>
    </row>
    <row r="26" spans="1:7" ht="12.75">
      <c r="A26" s="19" t="s">
        <v>212</v>
      </c>
      <c r="B26" s="19" t="s">
        <v>213</v>
      </c>
      <c r="C26" s="19">
        <v>50000</v>
      </c>
      <c r="D26" s="56">
        <v>50000</v>
      </c>
      <c r="E26" s="33">
        <v>50000</v>
      </c>
      <c r="F26" s="4" t="s">
        <v>214</v>
      </c>
      <c r="G26" s="1"/>
    </row>
    <row r="27" spans="1:7" ht="12.75">
      <c r="A27" s="19" t="s">
        <v>202</v>
      </c>
      <c r="B27" s="19" t="s">
        <v>197</v>
      </c>
      <c r="C27" s="44">
        <v>3000000</v>
      </c>
      <c r="D27" s="57">
        <v>3000000</v>
      </c>
      <c r="E27" s="33">
        <f>1500000+832000</f>
        <v>2332000</v>
      </c>
      <c r="G27" s="1"/>
    </row>
    <row r="28" spans="1:7" ht="12.75">
      <c r="A28" s="19" t="s">
        <v>204</v>
      </c>
      <c r="B28" s="19" t="s">
        <v>473</v>
      </c>
      <c r="C28" s="44"/>
      <c r="D28" s="57"/>
      <c r="E28" s="33">
        <v>42000</v>
      </c>
      <c r="F28" s="4" t="s">
        <v>474</v>
      </c>
      <c r="G28" s="1"/>
    </row>
    <row r="29" spans="1:7" ht="12.75">
      <c r="A29" s="19" t="s">
        <v>204</v>
      </c>
      <c r="B29" s="19" t="s">
        <v>475</v>
      </c>
      <c r="C29" s="44"/>
      <c r="D29" s="57"/>
      <c r="E29" s="33">
        <v>140000</v>
      </c>
      <c r="F29" s="4" t="s">
        <v>476</v>
      </c>
      <c r="G29" s="1"/>
    </row>
    <row r="30" spans="1:7" ht="12.75">
      <c r="A30" s="33"/>
      <c r="B30" s="33" t="s">
        <v>147</v>
      </c>
      <c r="C30" s="19">
        <v>733000</v>
      </c>
      <c r="D30" s="56">
        <v>733000</v>
      </c>
      <c r="E30" s="33">
        <v>800000</v>
      </c>
      <c r="F30" s="4" t="s">
        <v>239</v>
      </c>
      <c r="G30" s="1"/>
    </row>
    <row r="31" spans="1:7" ht="12.75">
      <c r="A31" s="33" t="s">
        <v>209</v>
      </c>
      <c r="B31" s="33" t="s">
        <v>455</v>
      </c>
      <c r="C31" s="19"/>
      <c r="D31" s="56"/>
      <c r="E31" s="33">
        <v>290000</v>
      </c>
      <c r="F31" s="4"/>
      <c r="G31" s="1"/>
    </row>
    <row r="32" spans="1:7" ht="12.75">
      <c r="A32" s="33" t="s">
        <v>209</v>
      </c>
      <c r="B32" s="33" t="s">
        <v>456</v>
      </c>
      <c r="C32" s="19"/>
      <c r="D32" s="56"/>
      <c r="E32" s="33">
        <v>210000</v>
      </c>
      <c r="F32" s="4"/>
      <c r="G32" s="1"/>
    </row>
    <row r="33" spans="1:7" ht="12.75">
      <c r="A33" s="33" t="s">
        <v>202</v>
      </c>
      <c r="B33" s="33" t="s">
        <v>446</v>
      </c>
      <c r="C33" s="19"/>
      <c r="D33" s="56"/>
      <c r="E33" s="33">
        <v>32000</v>
      </c>
      <c r="F33" s="4"/>
      <c r="G33" s="1"/>
    </row>
    <row r="34" spans="1:7" ht="12.75">
      <c r="A34" s="33" t="s">
        <v>202</v>
      </c>
      <c r="B34" s="33" t="s">
        <v>253</v>
      </c>
      <c r="C34" s="16"/>
      <c r="D34" s="58"/>
      <c r="E34" s="33">
        <v>500000</v>
      </c>
      <c r="F34" s="4" t="s">
        <v>255</v>
      </c>
      <c r="G34" s="1"/>
    </row>
    <row r="35" spans="1:7" ht="12.75">
      <c r="A35" s="33"/>
      <c r="B35" s="33" t="s">
        <v>488</v>
      </c>
      <c r="C35" s="16"/>
      <c r="D35" s="58"/>
      <c r="E35" s="33">
        <v>500000</v>
      </c>
      <c r="G35" s="1"/>
    </row>
    <row r="36" spans="1:7" ht="12.75">
      <c r="A36" s="33" t="s">
        <v>209</v>
      </c>
      <c r="B36" s="33" t="s">
        <v>393</v>
      </c>
      <c r="C36" s="16"/>
      <c r="D36" s="58"/>
      <c r="E36" s="33">
        <v>150000</v>
      </c>
      <c r="G36" s="1"/>
    </row>
    <row r="37" spans="1:7" ht="12.75">
      <c r="A37" s="33" t="s">
        <v>209</v>
      </c>
      <c r="B37" s="33" t="s">
        <v>413</v>
      </c>
      <c r="C37" s="16"/>
      <c r="D37" s="58"/>
      <c r="E37" s="33">
        <v>60000</v>
      </c>
      <c r="G37" s="1"/>
    </row>
    <row r="38" spans="1:7" ht="12.75">
      <c r="A38" s="33" t="s">
        <v>209</v>
      </c>
      <c r="B38" s="33" t="s">
        <v>395</v>
      </c>
      <c r="C38" s="16"/>
      <c r="D38" s="58"/>
      <c r="E38" s="33">
        <v>40000</v>
      </c>
      <c r="G38" s="1"/>
    </row>
    <row r="39" spans="1:7" ht="12.75">
      <c r="A39" s="33" t="s">
        <v>209</v>
      </c>
      <c r="B39" s="33" t="s">
        <v>477</v>
      </c>
      <c r="C39" s="16"/>
      <c r="D39" s="58"/>
      <c r="E39" s="33">
        <v>200000</v>
      </c>
      <c r="G39" s="1"/>
    </row>
    <row r="40" spans="1:7" ht="12.75">
      <c r="A40" s="33" t="s">
        <v>209</v>
      </c>
      <c r="B40" s="33" t="s">
        <v>458</v>
      </c>
      <c r="C40" s="16"/>
      <c r="D40" s="58"/>
      <c r="E40" s="33">
        <v>900000</v>
      </c>
      <c r="G40" s="1"/>
    </row>
    <row r="41" spans="1:7" ht="12.75">
      <c r="A41" s="33" t="s">
        <v>209</v>
      </c>
      <c r="B41" s="33" t="s">
        <v>408</v>
      </c>
      <c r="C41" s="16"/>
      <c r="D41" s="58"/>
      <c r="E41" s="33">
        <v>150000</v>
      </c>
      <c r="G41" s="1"/>
    </row>
    <row r="42" spans="1:7" ht="12.75">
      <c r="A42" s="33" t="s">
        <v>228</v>
      </c>
      <c r="B42" s="33" t="s">
        <v>414</v>
      </c>
      <c r="C42" s="16"/>
      <c r="D42" s="58"/>
      <c r="E42" s="33">
        <v>150000</v>
      </c>
      <c r="G42" s="1"/>
    </row>
    <row r="43" spans="1:7" ht="12.75">
      <c r="A43" s="33" t="s">
        <v>454</v>
      </c>
      <c r="B43" s="19" t="s">
        <v>508</v>
      </c>
      <c r="C43" s="44"/>
      <c r="D43" s="44"/>
      <c r="E43" s="33">
        <f>9140000+9633000+500000</f>
        <v>19273000</v>
      </c>
      <c r="G43" s="1"/>
    </row>
    <row r="44" spans="1:7" ht="12.75">
      <c r="A44" s="33" t="s">
        <v>454</v>
      </c>
      <c r="B44" s="19" t="s">
        <v>404</v>
      </c>
      <c r="C44" s="44"/>
      <c r="D44" s="44"/>
      <c r="E44" s="33">
        <v>200000</v>
      </c>
      <c r="G44" s="1"/>
    </row>
    <row r="45" spans="1:7" ht="12.75">
      <c r="A45" s="33" t="s">
        <v>454</v>
      </c>
      <c r="B45" s="33" t="s">
        <v>405</v>
      </c>
      <c r="C45" s="16"/>
      <c r="D45" s="58"/>
      <c r="E45" s="33">
        <v>10500000</v>
      </c>
      <c r="G45" s="1"/>
    </row>
    <row r="46" spans="1:7" ht="12.75">
      <c r="A46" s="33" t="s">
        <v>454</v>
      </c>
      <c r="B46" s="33" t="s">
        <v>407</v>
      </c>
      <c r="C46" s="16"/>
      <c r="D46" s="58"/>
      <c r="E46" s="33">
        <v>12000000</v>
      </c>
      <c r="G46" s="1"/>
    </row>
    <row r="47" spans="1:7" ht="12.75">
      <c r="A47" s="33"/>
      <c r="B47" s="16" t="s">
        <v>242</v>
      </c>
      <c r="C47" s="16">
        <f>SUM(C17:C46)</f>
        <v>3813000</v>
      </c>
      <c r="D47" s="19"/>
      <c r="E47" s="16">
        <f>SUM(E17:E46)</f>
        <v>80575000</v>
      </c>
      <c r="F47" s="39" t="s">
        <v>245</v>
      </c>
      <c r="G47" s="1"/>
    </row>
    <row r="48" spans="1:7" ht="12.75">
      <c r="A48" s="1" t="s">
        <v>194</v>
      </c>
      <c r="B48" s="4" t="s">
        <v>195</v>
      </c>
      <c r="G48" s="1"/>
    </row>
    <row r="49" spans="1:7" ht="12.75">
      <c r="A49" s="53" t="s">
        <v>200</v>
      </c>
      <c r="B49" s="48" t="s">
        <v>231</v>
      </c>
      <c r="G49" s="1"/>
    </row>
    <row r="50" spans="2:7" ht="12.75">
      <c r="B50" s="2"/>
      <c r="G50" s="1"/>
    </row>
    <row r="51" spans="2:7" ht="12.75">
      <c r="B51" s="2"/>
      <c r="G51" s="1"/>
    </row>
    <row r="52" spans="2:7" ht="12.75">
      <c r="B52" s="5" t="s">
        <v>459</v>
      </c>
      <c r="G52" s="1"/>
    </row>
    <row r="53" spans="1:7" ht="12.75">
      <c r="A53" s="33" t="s">
        <v>209</v>
      </c>
      <c r="B53" s="33" t="s">
        <v>478</v>
      </c>
      <c r="C53" s="16"/>
      <c r="D53" s="58"/>
      <c r="E53" s="33">
        <v>200000</v>
      </c>
      <c r="G53" s="1"/>
    </row>
    <row r="54" spans="1:7" ht="12.75">
      <c r="A54" s="33" t="s">
        <v>209</v>
      </c>
      <c r="B54" s="33" t="s">
        <v>394</v>
      </c>
      <c r="C54" s="16"/>
      <c r="D54" s="58"/>
      <c r="E54" s="33">
        <v>600000</v>
      </c>
      <c r="G54" s="1"/>
    </row>
    <row r="55" spans="1:7" ht="12.75">
      <c r="A55" s="33" t="s">
        <v>209</v>
      </c>
      <c r="B55" s="33" t="s">
        <v>398</v>
      </c>
      <c r="C55" s="16"/>
      <c r="D55" s="58"/>
      <c r="E55" s="33">
        <v>150000</v>
      </c>
      <c r="G55" s="1"/>
    </row>
    <row r="56" spans="1:7" ht="12.75">
      <c r="A56" s="33" t="s">
        <v>209</v>
      </c>
      <c r="B56" s="33" t="s">
        <v>460</v>
      </c>
      <c r="C56" s="16"/>
      <c r="D56" s="58"/>
      <c r="E56" s="33">
        <v>100000</v>
      </c>
      <c r="G56" s="1"/>
    </row>
    <row r="57" spans="1:7" ht="12.75">
      <c r="A57" s="33" t="s">
        <v>453</v>
      </c>
      <c r="B57" s="33" t="s">
        <v>409</v>
      </c>
      <c r="C57" s="16"/>
      <c r="D57" s="58"/>
      <c r="E57" s="33">
        <v>250000</v>
      </c>
      <c r="F57" s="4" t="s">
        <v>377</v>
      </c>
      <c r="G57" s="4"/>
    </row>
    <row r="58" spans="1:7" ht="12.75">
      <c r="A58" s="19" t="s">
        <v>202</v>
      </c>
      <c r="B58" s="19" t="s">
        <v>234</v>
      </c>
      <c r="C58" s="44">
        <v>3000000</v>
      </c>
      <c r="D58" s="57">
        <v>3000000</v>
      </c>
      <c r="E58" s="44">
        <v>3000000</v>
      </c>
      <c r="G58" s="1"/>
    </row>
    <row r="59" spans="1:7" ht="12.75">
      <c r="A59" s="19" t="s">
        <v>202</v>
      </c>
      <c r="B59" s="19" t="s">
        <v>223</v>
      </c>
      <c r="C59" s="44">
        <v>600000</v>
      </c>
      <c r="D59" s="57">
        <v>600000</v>
      </c>
      <c r="E59" s="44">
        <v>600000</v>
      </c>
      <c r="G59" s="1"/>
    </row>
    <row r="60" spans="1:7" ht="12.75" customHeight="1" hidden="1">
      <c r="A60" s="19" t="s">
        <v>202</v>
      </c>
      <c r="B60" s="19" t="s">
        <v>222</v>
      </c>
      <c r="C60" s="44">
        <v>2600000</v>
      </c>
      <c r="D60" s="57">
        <v>2600000</v>
      </c>
      <c r="E60" s="44">
        <v>2600000</v>
      </c>
      <c r="G60" s="1"/>
    </row>
    <row r="61" spans="1:7" ht="12.75" customHeight="1" hidden="1">
      <c r="A61" s="33" t="s">
        <v>209</v>
      </c>
      <c r="B61" s="33" t="s">
        <v>396</v>
      </c>
      <c r="C61" s="16"/>
      <c r="D61" s="58"/>
      <c r="E61" s="33">
        <v>2400000</v>
      </c>
      <c r="G61" s="1"/>
    </row>
    <row r="62" spans="1:7" ht="12.75" customHeight="1" hidden="1">
      <c r="A62" s="33" t="s">
        <v>209</v>
      </c>
      <c r="B62" s="33" t="s">
        <v>397</v>
      </c>
      <c r="C62" s="16"/>
      <c r="D62" s="58"/>
      <c r="E62" s="33">
        <v>350000</v>
      </c>
      <c r="G62" s="1"/>
    </row>
    <row r="63" spans="1:7" ht="12.75">
      <c r="A63" s="33" t="s">
        <v>209</v>
      </c>
      <c r="B63" s="33" t="s">
        <v>399</v>
      </c>
      <c r="C63" s="16"/>
      <c r="D63" s="58"/>
      <c r="E63" s="33">
        <v>500000</v>
      </c>
      <c r="G63" s="1"/>
    </row>
    <row r="64" spans="1:7" ht="12.75">
      <c r="A64" s="33" t="s">
        <v>209</v>
      </c>
      <c r="B64" s="33" t="s">
        <v>400</v>
      </c>
      <c r="C64" s="16"/>
      <c r="D64" s="58"/>
      <c r="E64" s="33">
        <v>850000</v>
      </c>
      <c r="G64" s="1"/>
    </row>
    <row r="65" spans="1:7" ht="12.75">
      <c r="A65" s="33" t="s">
        <v>209</v>
      </c>
      <c r="B65" s="33" t="s">
        <v>401</v>
      </c>
      <c r="C65" s="16"/>
      <c r="D65" s="58"/>
      <c r="E65" s="33">
        <v>100000</v>
      </c>
      <c r="G65" s="1"/>
    </row>
    <row r="66" spans="1:7" ht="12.75">
      <c r="A66" s="33" t="s">
        <v>203</v>
      </c>
      <c r="B66" s="33" t="s">
        <v>457</v>
      </c>
      <c r="C66" s="16"/>
      <c r="D66" s="58"/>
      <c r="E66" s="33">
        <v>800000</v>
      </c>
      <c r="G66" s="1"/>
    </row>
    <row r="67" spans="1:7" ht="12.75">
      <c r="A67" s="19" t="s">
        <v>209</v>
      </c>
      <c r="B67" s="19" t="s">
        <v>224</v>
      </c>
      <c r="C67" s="44">
        <v>1200000</v>
      </c>
      <c r="D67" s="57">
        <v>1200000</v>
      </c>
      <c r="E67" s="44">
        <v>1200000</v>
      </c>
      <c r="G67" s="1"/>
    </row>
    <row r="68" spans="1:7" ht="12.75">
      <c r="A68" s="19"/>
      <c r="B68" s="19" t="s">
        <v>489</v>
      </c>
      <c r="C68" s="44"/>
      <c r="D68" s="57"/>
      <c r="E68" s="33">
        <v>489000</v>
      </c>
      <c r="F68" s="4" t="s">
        <v>490</v>
      </c>
      <c r="G68" s="1"/>
    </row>
    <row r="69" spans="1:7" ht="12.75">
      <c r="A69" s="19" t="s">
        <v>209</v>
      </c>
      <c r="B69" s="19" t="s">
        <v>225</v>
      </c>
      <c r="C69" s="44"/>
      <c r="D69" s="57">
        <v>2000000</v>
      </c>
      <c r="E69" s="44"/>
      <c r="G69" s="1"/>
    </row>
    <row r="70" spans="1:7" ht="12.75">
      <c r="A70" s="33" t="s">
        <v>203</v>
      </c>
      <c r="B70" s="33" t="s">
        <v>205</v>
      </c>
      <c r="C70" s="19"/>
      <c r="D70" s="56">
        <v>500000</v>
      </c>
      <c r="E70" s="19"/>
      <c r="G70" s="1"/>
    </row>
    <row r="71" spans="1:7" ht="12.75">
      <c r="A71" s="33" t="s">
        <v>204</v>
      </c>
      <c r="B71" s="33" t="s">
        <v>206</v>
      </c>
      <c r="C71" s="19"/>
      <c r="D71" s="56">
        <v>900000</v>
      </c>
      <c r="E71" s="19"/>
      <c r="G71" s="1"/>
    </row>
    <row r="72" spans="2:7" ht="12.75">
      <c r="B72" s="16" t="s">
        <v>17</v>
      </c>
      <c r="C72" s="16">
        <f>SUM(C58:C71)</f>
        <v>7400000</v>
      </c>
      <c r="E72" s="16">
        <f>SUM(E53:E71)</f>
        <v>14189000</v>
      </c>
      <c r="G72" s="1"/>
    </row>
    <row r="73" spans="5:7" ht="12.75">
      <c r="E73" s="1"/>
      <c r="G73" s="1"/>
    </row>
    <row r="74" spans="1:7" ht="12.75">
      <c r="A74" s="6" t="s">
        <v>287</v>
      </c>
      <c r="B74" s="7"/>
      <c r="C74" s="39"/>
      <c r="D74" s="39"/>
      <c r="E74" s="5">
        <f>E76+E102</f>
        <v>9120000</v>
      </c>
      <c r="G74" s="1"/>
    </row>
    <row r="75" spans="1:7" ht="12.75">
      <c r="A75" s="2"/>
      <c r="B75" s="40"/>
      <c r="C75" s="41"/>
      <c r="D75" s="41"/>
      <c r="E75"/>
      <c r="G75" s="1"/>
    </row>
    <row r="76" spans="1:7" ht="12.75">
      <c r="A76" s="7" t="s">
        <v>261</v>
      </c>
      <c r="B76" s="2"/>
      <c r="C76"/>
      <c r="D76"/>
      <c r="E76" s="5">
        <f>E77</f>
        <v>840000</v>
      </c>
      <c r="G76" s="1"/>
    </row>
    <row r="77" spans="1:7" ht="12.75">
      <c r="A77" s="2"/>
      <c r="B77" s="13" t="s">
        <v>259</v>
      </c>
      <c r="C77" s="21"/>
      <c r="D77" s="21"/>
      <c r="E77" s="21">
        <v>840000</v>
      </c>
      <c r="G77" s="1"/>
    </row>
    <row r="78" spans="1:7" ht="12.75">
      <c r="A78" s="7" t="s">
        <v>262</v>
      </c>
      <c r="B78" s="2"/>
      <c r="C78"/>
      <c r="D78"/>
      <c r="E78" s="5" t="s">
        <v>479</v>
      </c>
      <c r="G78" s="1"/>
    </row>
    <row r="79" spans="1:7" ht="12.75">
      <c r="A79" s="2"/>
      <c r="B79" s="13" t="s">
        <v>263</v>
      </c>
      <c r="C79" s="21"/>
      <c r="D79" s="21"/>
      <c r="E79" s="21" t="s">
        <v>479</v>
      </c>
      <c r="G79" s="1"/>
    </row>
    <row r="80" spans="1:7" ht="12.75">
      <c r="A80" s="2"/>
      <c r="B80" s="13" t="s">
        <v>264</v>
      </c>
      <c r="C80" s="21"/>
      <c r="D80" s="21"/>
      <c r="E80" s="21" t="s">
        <v>479</v>
      </c>
      <c r="G80" s="1"/>
    </row>
    <row r="81" spans="1:7" ht="12.75">
      <c r="A81" s="2"/>
      <c r="B81" s="13" t="s">
        <v>267</v>
      </c>
      <c r="C81" s="21"/>
      <c r="D81" s="21"/>
      <c r="E81" s="21" t="s">
        <v>479</v>
      </c>
      <c r="G81" s="1"/>
    </row>
    <row r="82" spans="1:7" ht="12.75">
      <c r="A82" s="7" t="s">
        <v>265</v>
      </c>
      <c r="B82" s="2"/>
      <c r="C82"/>
      <c r="D82"/>
      <c r="E82" s="5" t="s">
        <v>479</v>
      </c>
      <c r="G82" s="1"/>
    </row>
    <row r="83" spans="1:7" ht="12.75">
      <c r="A83" s="2"/>
      <c r="B83" s="13" t="s">
        <v>266</v>
      </c>
      <c r="C83" s="21"/>
      <c r="D83" s="21"/>
      <c r="E83" s="21" t="s">
        <v>479</v>
      </c>
      <c r="G83" s="1"/>
    </row>
    <row r="84" spans="1:7" ht="12.75">
      <c r="A84" s="2"/>
      <c r="B84" s="13" t="s">
        <v>268</v>
      </c>
      <c r="C84" s="21"/>
      <c r="D84" s="21"/>
      <c r="E84" s="21" t="s">
        <v>479</v>
      </c>
      <c r="G84" s="1"/>
    </row>
    <row r="85" spans="1:7" ht="12.75">
      <c r="A85" s="2"/>
      <c r="B85" s="13" t="s">
        <v>269</v>
      </c>
      <c r="C85" s="21"/>
      <c r="D85" s="21"/>
      <c r="E85" s="21" t="s">
        <v>479</v>
      </c>
      <c r="G85" s="1"/>
    </row>
    <row r="86" spans="1:7" ht="12.75">
      <c r="A86" s="2"/>
      <c r="B86" s="13" t="s">
        <v>270</v>
      </c>
      <c r="C86" s="21"/>
      <c r="D86" s="21"/>
      <c r="E86" s="21" t="s">
        <v>479</v>
      </c>
      <c r="G86" s="1"/>
    </row>
    <row r="87" spans="1:7" ht="12.75">
      <c r="A87" s="2"/>
      <c r="B87" s="13" t="s">
        <v>271</v>
      </c>
      <c r="C87" s="21"/>
      <c r="D87" s="21"/>
      <c r="E87" s="21" t="s">
        <v>479</v>
      </c>
      <c r="G87" s="1"/>
    </row>
    <row r="88" spans="1:7" ht="12.75">
      <c r="A88" s="2"/>
      <c r="B88" s="13" t="s">
        <v>276</v>
      </c>
      <c r="C88" s="21"/>
      <c r="D88" s="21"/>
      <c r="E88" s="21" t="s">
        <v>479</v>
      </c>
      <c r="G88" s="1"/>
    </row>
    <row r="89" spans="1:7" ht="12.75">
      <c r="A89" s="2"/>
      <c r="B89" s="13" t="s">
        <v>277</v>
      </c>
      <c r="C89" s="21"/>
      <c r="D89" s="21"/>
      <c r="E89" s="21" t="s">
        <v>479</v>
      </c>
      <c r="G89" s="1"/>
    </row>
    <row r="90" spans="1:7" ht="12.75">
      <c r="A90" s="2"/>
      <c r="B90" s="13" t="s">
        <v>278</v>
      </c>
      <c r="C90" s="21"/>
      <c r="D90" s="21"/>
      <c r="E90" s="21" t="s">
        <v>479</v>
      </c>
      <c r="G90" s="1"/>
    </row>
    <row r="91" spans="1:7" ht="12.75">
      <c r="A91" s="2"/>
      <c r="B91" s="13" t="s">
        <v>294</v>
      </c>
      <c r="C91" s="21"/>
      <c r="D91" s="21"/>
      <c r="E91" s="21" t="s">
        <v>479</v>
      </c>
      <c r="G91" s="1"/>
    </row>
    <row r="92" spans="1:7" ht="12.75">
      <c r="A92" s="2"/>
      <c r="B92" s="13" t="s">
        <v>279</v>
      </c>
      <c r="C92" s="21"/>
      <c r="D92" s="21"/>
      <c r="E92" s="21" t="s">
        <v>479</v>
      </c>
      <c r="G92" s="1"/>
    </row>
    <row r="93" spans="1:7" ht="12.75">
      <c r="A93" s="2"/>
      <c r="B93" s="13" t="s">
        <v>272</v>
      </c>
      <c r="C93" s="21"/>
      <c r="D93" s="21"/>
      <c r="E93" s="21" t="s">
        <v>479</v>
      </c>
      <c r="G93" s="1"/>
    </row>
    <row r="94" spans="1:7" ht="12.75">
      <c r="A94" s="2"/>
      <c r="B94" s="13" t="s">
        <v>273</v>
      </c>
      <c r="C94" s="21"/>
      <c r="D94" s="21"/>
      <c r="E94" s="21" t="s">
        <v>479</v>
      </c>
      <c r="G94" s="1"/>
    </row>
    <row r="95" spans="1:5" ht="12.75">
      <c r="A95" s="2"/>
      <c r="B95" s="13" t="s">
        <v>274</v>
      </c>
      <c r="C95" s="21"/>
      <c r="D95" s="21"/>
      <c r="E95" s="21" t="s">
        <v>479</v>
      </c>
    </row>
    <row r="96" spans="1:5" ht="12.75">
      <c r="A96" s="2"/>
      <c r="B96" s="13" t="s">
        <v>295</v>
      </c>
      <c r="C96" s="21"/>
      <c r="D96" s="21"/>
      <c r="E96" s="21" t="s">
        <v>479</v>
      </c>
    </row>
    <row r="97" spans="1:5" ht="12.75">
      <c r="A97" s="2"/>
      <c r="B97" s="13" t="s">
        <v>275</v>
      </c>
      <c r="C97" s="21"/>
      <c r="D97" s="21"/>
      <c r="E97" s="21" t="s">
        <v>479</v>
      </c>
    </row>
    <row r="98" spans="1:5" ht="12.75">
      <c r="A98" s="2"/>
      <c r="B98" s="13" t="s">
        <v>280</v>
      </c>
      <c r="C98" s="21"/>
      <c r="D98" s="21"/>
      <c r="E98" s="21" t="s">
        <v>479</v>
      </c>
    </row>
    <row r="99" spans="1:5" ht="12.75">
      <c r="A99" s="2"/>
      <c r="B99" s="13" t="s">
        <v>281</v>
      </c>
      <c r="C99" s="21"/>
      <c r="D99" s="21"/>
      <c r="E99" s="21" t="s">
        <v>479</v>
      </c>
    </row>
    <row r="100" spans="1:5" ht="12.75">
      <c r="A100" s="2"/>
      <c r="B100" s="13" t="s">
        <v>282</v>
      </c>
      <c r="C100" s="21"/>
      <c r="D100" s="21"/>
      <c r="E100" s="21" t="s">
        <v>479</v>
      </c>
    </row>
    <row r="101" spans="1:5" ht="12.75">
      <c r="A101" s="2"/>
      <c r="B101" s="13" t="s">
        <v>283</v>
      </c>
      <c r="C101" s="21"/>
      <c r="D101" s="21"/>
      <c r="E101" s="21" t="s">
        <v>479</v>
      </c>
    </row>
    <row r="102" spans="2:6" ht="12.75">
      <c r="B102" s="8" t="s">
        <v>514</v>
      </c>
      <c r="C102" s="8"/>
      <c r="D102" s="8"/>
      <c r="E102" s="8">
        <v>8280000</v>
      </c>
      <c r="F102" s="4"/>
    </row>
  </sheetData>
  <mergeCells count="4">
    <mergeCell ref="B14:C14"/>
    <mergeCell ref="B1:C1"/>
    <mergeCell ref="B2:C2"/>
    <mergeCell ref="B13:C13"/>
  </mergeCells>
  <printOptions/>
  <pageMargins left="0.75" right="0.27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4">
      <selection activeCell="G23" sqref="G23:G34"/>
    </sheetView>
  </sheetViews>
  <sheetFormatPr defaultColWidth="9.00390625" defaultRowHeight="12.75"/>
  <cols>
    <col min="1" max="1" width="58.625" style="1" customWidth="1"/>
    <col min="2" max="3" width="12.25390625" style="1" hidden="1" customWidth="1"/>
    <col min="4" max="4" width="12.625" style="1" customWidth="1"/>
    <col min="5" max="5" width="13.125" style="95" customWidth="1"/>
    <col min="6" max="6" width="26.375" style="95" customWidth="1"/>
    <col min="7" max="16384" width="26.375" style="1" customWidth="1"/>
  </cols>
  <sheetData>
    <row r="1" spans="1:3" ht="18">
      <c r="A1" s="99" t="s">
        <v>149</v>
      </c>
      <c r="B1" s="99"/>
      <c r="C1" s="43"/>
    </row>
    <row r="2" spans="1:3" ht="12.75">
      <c r="A2" s="98" t="s">
        <v>145</v>
      </c>
      <c r="B2" s="98"/>
      <c r="C2" s="42"/>
    </row>
    <row r="4" spans="1:4" ht="12.75">
      <c r="A4" s="19" t="s">
        <v>19</v>
      </c>
      <c r="B4" s="60" t="s">
        <v>257</v>
      </c>
      <c r="C4" s="14" t="s">
        <v>199</v>
      </c>
      <c r="D4" s="97" t="str">
        <f>Príjmy!$H$6</f>
        <v>2006 schv.</v>
      </c>
    </row>
    <row r="5" spans="1:4" ht="12.75">
      <c r="A5" s="19" t="s">
        <v>232</v>
      </c>
      <c r="B5" s="19">
        <f>B28+B24+B26+B27+'[1]Výdaje podľa akcií'!H43+'[1]Výdaje podľa akcií'!H39+'[1]Výdaje podľa akcií'!H41+'[1]Výdaje podľa akcií'!H42</f>
        <v>2148000</v>
      </c>
      <c r="C5" s="19">
        <f>B5</f>
        <v>2148000</v>
      </c>
      <c r="D5" s="19">
        <v>500000</v>
      </c>
    </row>
    <row r="6" spans="1:4" ht="12.75">
      <c r="A6" s="19" t="s">
        <v>480</v>
      </c>
      <c r="B6" s="19"/>
      <c r="C6" s="19"/>
      <c r="D6" s="19">
        <f>100000+160000+180000</f>
        <v>440000</v>
      </c>
    </row>
    <row r="7" spans="1:4" ht="12.75">
      <c r="A7" s="19" t="s">
        <v>481</v>
      </c>
      <c r="B7" s="19"/>
      <c r="C7" s="19"/>
      <c r="D7" s="19">
        <f>2428000+995000+35000+201000</f>
        <v>3659000</v>
      </c>
    </row>
    <row r="8" spans="1:4" ht="12.75">
      <c r="A8" s="19" t="s">
        <v>492</v>
      </c>
      <c r="B8" s="19"/>
      <c r="C8" s="19"/>
      <c r="D8" s="19">
        <f>1321000+832000</f>
        <v>2153000</v>
      </c>
    </row>
    <row r="9" spans="1:4" ht="12.75">
      <c r="A9" s="19" t="s">
        <v>493</v>
      </c>
      <c r="B9" s="19"/>
      <c r="C9" s="19"/>
      <c r="D9" s="19">
        <v>24000000</v>
      </c>
    </row>
    <row r="10" spans="1:4" ht="12.75">
      <c r="A10" s="19" t="s">
        <v>515</v>
      </c>
      <c r="B10" s="19"/>
      <c r="C10" s="19"/>
      <c r="D10" s="19">
        <v>51000</v>
      </c>
    </row>
    <row r="11" spans="1:4" ht="12.75">
      <c r="A11" s="19" t="s">
        <v>246</v>
      </c>
      <c r="B11" s="19"/>
      <c r="C11" s="19"/>
      <c r="D11" s="19">
        <v>288000</v>
      </c>
    </row>
    <row r="12" spans="1:4" ht="12.75">
      <c r="A12" s="19" t="s">
        <v>509</v>
      </c>
      <c r="B12" s="19"/>
      <c r="C12" s="19"/>
      <c r="D12" s="19">
        <v>4305000</v>
      </c>
    </row>
    <row r="13" spans="1:4" ht="12.75">
      <c r="A13" s="19" t="s">
        <v>510</v>
      </c>
      <c r="B13" s="19"/>
      <c r="C13" s="19"/>
      <c r="D13" s="19">
        <v>10000000</v>
      </c>
    </row>
    <row r="14" spans="1:4" ht="12.75">
      <c r="A14" s="19" t="s">
        <v>506</v>
      </c>
      <c r="B14" s="19"/>
      <c r="C14" s="19"/>
      <c r="D14" s="19">
        <f>18304000+140000-8811000</f>
        <v>9633000</v>
      </c>
    </row>
    <row r="15" spans="1:4" ht="12.75">
      <c r="A15" s="19" t="s">
        <v>406</v>
      </c>
      <c r="B15" s="19"/>
      <c r="C15" s="19"/>
      <c r="D15" s="19">
        <v>9000000</v>
      </c>
    </row>
    <row r="16" spans="1:4" ht="12.75">
      <c r="A16" s="19" t="s">
        <v>512</v>
      </c>
      <c r="B16" s="19"/>
      <c r="C16" s="19"/>
      <c r="D16" s="19">
        <v>200000000</v>
      </c>
    </row>
    <row r="17" spans="1:4" ht="12.75">
      <c r="A17" s="16" t="s">
        <v>17</v>
      </c>
      <c r="B17" s="16">
        <f>SUM(B5:B15)</f>
        <v>2148000</v>
      </c>
      <c r="C17" s="16">
        <f>SUM(C5:C15)</f>
        <v>2148000</v>
      </c>
      <c r="D17" s="16">
        <f>SUM(D5:D16)</f>
        <v>264029000</v>
      </c>
    </row>
    <row r="19" spans="1:3" ht="18">
      <c r="A19" s="99" t="s">
        <v>150</v>
      </c>
      <c r="B19" s="99"/>
      <c r="C19" s="43"/>
    </row>
    <row r="20" spans="1:3" ht="12.75">
      <c r="A20" s="98" t="s">
        <v>145</v>
      </c>
      <c r="B20" s="98"/>
      <c r="C20" s="42"/>
    </row>
    <row r="22" spans="1:4" ht="12.75">
      <c r="A22" s="19" t="s">
        <v>19</v>
      </c>
      <c r="B22" s="60" t="s">
        <v>257</v>
      </c>
      <c r="C22" s="14" t="s">
        <v>199</v>
      </c>
      <c r="D22" s="97" t="str">
        <f>Príjmy!$H$6</f>
        <v>2006 schv.</v>
      </c>
    </row>
    <row r="23" spans="1:6" ht="12.75">
      <c r="A23" s="19" t="s">
        <v>151</v>
      </c>
      <c r="B23" s="19">
        <v>1770000</v>
      </c>
      <c r="C23" s="19">
        <v>1770000</v>
      </c>
      <c r="D23" s="19">
        <v>1770000</v>
      </c>
      <c r="F23" s="95">
        <f>D23</f>
        <v>1770000</v>
      </c>
    </row>
    <row r="24" spans="1:4" ht="12.75">
      <c r="A24" s="19" t="s">
        <v>152</v>
      </c>
      <c r="B24" s="19">
        <v>168000</v>
      </c>
      <c r="C24" s="19">
        <v>168000</v>
      </c>
      <c r="D24" s="19">
        <v>178000</v>
      </c>
    </row>
    <row r="25" spans="1:6" ht="12.75">
      <c r="A25" s="19" t="s">
        <v>153</v>
      </c>
      <c r="B25" s="19">
        <v>2016000</v>
      </c>
      <c r="C25" s="19">
        <v>2016000</v>
      </c>
      <c r="D25" s="19">
        <v>2016000</v>
      </c>
      <c r="F25" s="95">
        <f>D25</f>
        <v>2016000</v>
      </c>
    </row>
    <row r="26" spans="1:4" ht="12.75">
      <c r="A26" s="19" t="s">
        <v>154</v>
      </c>
      <c r="B26" s="19">
        <v>276000</v>
      </c>
      <c r="C26" s="19">
        <v>276000</v>
      </c>
      <c r="D26" s="19">
        <v>301000</v>
      </c>
    </row>
    <row r="27" spans="1:4" ht="12.75">
      <c r="A27" s="19" t="s">
        <v>155</v>
      </c>
      <c r="B27" s="19">
        <v>174000</v>
      </c>
      <c r="C27" s="19">
        <v>174000</v>
      </c>
      <c r="D27" s="19">
        <v>528000</v>
      </c>
    </row>
    <row r="28" spans="1:4" ht="12.75">
      <c r="A28" s="19" t="s">
        <v>507</v>
      </c>
      <c r="B28" s="19">
        <v>438000</v>
      </c>
      <c r="C28" s="19">
        <v>438000</v>
      </c>
      <c r="D28" s="19">
        <v>190000</v>
      </c>
    </row>
    <row r="29" spans="1:4" ht="12.75">
      <c r="A29" s="19" t="s">
        <v>511</v>
      </c>
      <c r="B29" s="19"/>
      <c r="C29" s="19"/>
      <c r="D29" s="19">
        <v>10000000</v>
      </c>
    </row>
    <row r="30" spans="1:4" ht="12.75">
      <c r="A30" s="19" t="s">
        <v>410</v>
      </c>
      <c r="B30" s="19"/>
      <c r="C30" s="19"/>
      <c r="D30" s="19">
        <v>180000</v>
      </c>
    </row>
    <row r="31" spans="1:4" ht="12.75">
      <c r="A31" s="19" t="s">
        <v>491</v>
      </c>
      <c r="B31" s="19"/>
      <c r="C31" s="19"/>
      <c r="D31" s="19">
        <v>130000</v>
      </c>
    </row>
    <row r="32" spans="1:4" ht="12.75">
      <c r="A32" s="19" t="s">
        <v>518</v>
      </c>
      <c r="B32" s="19"/>
      <c r="C32" s="19"/>
      <c r="D32" s="19">
        <v>150000</v>
      </c>
    </row>
    <row r="33" spans="1:4" ht="12.75">
      <c r="A33" s="19" t="s">
        <v>513</v>
      </c>
      <c r="B33" s="19"/>
      <c r="C33" s="19"/>
      <c r="D33" s="19">
        <v>200000000</v>
      </c>
    </row>
    <row r="34" spans="1:4" ht="12.75">
      <c r="A34" s="16" t="s">
        <v>17</v>
      </c>
      <c r="B34" s="16">
        <f>SUM(B23:B28)</f>
        <v>4842000</v>
      </c>
      <c r="C34" s="16">
        <f>SUM(C23:C28)</f>
        <v>4842000</v>
      </c>
      <c r="D34" s="16">
        <f>SUM(D23:D33)</f>
        <v>215443000</v>
      </c>
    </row>
    <row r="36" ht="12.75">
      <c r="A36" s="2"/>
    </row>
    <row r="37" spans="1:6" ht="12.75">
      <c r="A37" s="5" t="s">
        <v>198</v>
      </c>
      <c r="B37" s="5">
        <f>B17-B34</f>
        <v>-2694000</v>
      </c>
      <c r="C37" s="5">
        <f>C17-C34</f>
        <v>-2694000</v>
      </c>
      <c r="D37" s="5">
        <f>D17-D34</f>
        <v>48586000</v>
      </c>
      <c r="F37" s="95">
        <f>SUM(F23:F28)</f>
        <v>3786000</v>
      </c>
    </row>
  </sheetData>
  <mergeCells count="4">
    <mergeCell ref="A20:B20"/>
    <mergeCell ref="A1:B1"/>
    <mergeCell ref="A2:B2"/>
    <mergeCell ref="A19:B1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9"/>
  <sheetViews>
    <sheetView workbookViewId="0" topLeftCell="A1">
      <selection activeCell="A17" sqref="A17"/>
    </sheetView>
  </sheetViews>
  <sheetFormatPr defaultColWidth="9.00390625" defaultRowHeight="12.75"/>
  <cols>
    <col min="1" max="1" width="18.125" style="0" customWidth="1"/>
    <col min="2" max="3" width="15.75390625" style="0" customWidth="1"/>
    <col min="4" max="4" width="19.00390625" style="0" bestFit="1" customWidth="1"/>
    <col min="5" max="7" width="15.75390625" style="0" customWidth="1"/>
  </cols>
  <sheetData>
    <row r="2" s="37" customFormat="1" ht="12.75"/>
    <row r="3" spans="2:4" s="67" customFormat="1" ht="12.75">
      <c r="B3" s="68" t="s">
        <v>366</v>
      </c>
      <c r="C3" s="68"/>
      <c r="D3" s="68"/>
    </row>
    <row r="4" s="37" customFormat="1" ht="12.75"/>
    <row r="5" s="37" customFormat="1" ht="13.5" thickBot="1">
      <c r="G5" s="54"/>
    </row>
    <row r="6" spans="1:7" s="73" customFormat="1" ht="12.75">
      <c r="A6" s="69" t="s">
        <v>221</v>
      </c>
      <c r="B6" s="70" t="s">
        <v>362</v>
      </c>
      <c r="C6" s="71" t="s">
        <v>242</v>
      </c>
      <c r="D6" s="69" t="s">
        <v>361</v>
      </c>
      <c r="E6" s="70" t="s">
        <v>362</v>
      </c>
      <c r="F6" s="70" t="s">
        <v>242</v>
      </c>
      <c r="G6" s="72" t="s">
        <v>363</v>
      </c>
    </row>
    <row r="7" spans="1:9" s="37" customFormat="1" ht="24.75" customHeight="1" thickBot="1">
      <c r="A7" s="79">
        <f>Príjmy!H81</f>
        <v>236263000</v>
      </c>
      <c r="B7" s="82">
        <f>Príjmy!H84</f>
        <v>10590000</v>
      </c>
      <c r="C7" s="81">
        <f>SUM(A7:B7)</f>
        <v>246853000</v>
      </c>
      <c r="D7" s="79">
        <f>'Výdaje podľa akcií'!I140</f>
        <v>111287000</v>
      </c>
      <c r="E7" s="82">
        <f>'Výdaje podľa akcií'!I142</f>
        <v>119140000</v>
      </c>
      <c r="F7" s="82">
        <f>SUM(D7:E7)</f>
        <v>230427000</v>
      </c>
      <c r="G7" s="83">
        <f>C7-F7</f>
        <v>16426000</v>
      </c>
      <c r="I7" s="39"/>
    </row>
    <row r="8" spans="1:7" s="74" customFormat="1" ht="12.75">
      <c r="A8" s="78" t="s">
        <v>148</v>
      </c>
      <c r="B8" s="70"/>
      <c r="C8" s="77" t="s">
        <v>242</v>
      </c>
      <c r="D8" s="69" t="s">
        <v>364</v>
      </c>
      <c r="E8" s="70" t="s">
        <v>362</v>
      </c>
      <c r="F8" s="70" t="s">
        <v>242</v>
      </c>
      <c r="G8" s="72" t="s">
        <v>363</v>
      </c>
    </row>
    <row r="9" spans="1:9" s="37" customFormat="1" ht="24.75" customHeight="1" thickBot="1">
      <c r="A9" s="79">
        <f>Kapitálové!E11</f>
        <v>24733000</v>
      </c>
      <c r="B9" s="80">
        <v>0</v>
      </c>
      <c r="C9" s="81">
        <f>SUM(A9:B9)</f>
        <v>24733000</v>
      </c>
      <c r="D9" s="79">
        <f>Kapitálové!E47</f>
        <v>80575000</v>
      </c>
      <c r="E9" s="82">
        <f>Kapitálové!E74</f>
        <v>9120000</v>
      </c>
      <c r="F9" s="82">
        <f>SUM(D9:E9)</f>
        <v>89695000</v>
      </c>
      <c r="G9" s="83">
        <f>C9-F9</f>
        <v>-64962000</v>
      </c>
      <c r="I9" s="39"/>
    </row>
    <row r="10" spans="1:7" s="73" customFormat="1" ht="12.75">
      <c r="A10" s="69" t="s">
        <v>149</v>
      </c>
      <c r="B10" s="70"/>
      <c r="C10" s="71" t="s">
        <v>242</v>
      </c>
      <c r="D10" s="69" t="s">
        <v>365</v>
      </c>
      <c r="E10" s="70"/>
      <c r="F10" s="70" t="s">
        <v>242</v>
      </c>
      <c r="G10" s="72" t="s">
        <v>363</v>
      </c>
    </row>
    <row r="11" spans="1:9" s="54" customFormat="1" ht="24.75" customHeight="1" thickBot="1">
      <c r="A11" s="79">
        <f>Finančné!D17</f>
        <v>264029000</v>
      </c>
      <c r="B11" s="80">
        <v>0</v>
      </c>
      <c r="C11" s="81">
        <f>SUM(A11:B11)</f>
        <v>264029000</v>
      </c>
      <c r="D11" s="79">
        <f>Finančné!D34</f>
        <v>215443000</v>
      </c>
      <c r="E11" s="82">
        <v>0</v>
      </c>
      <c r="F11" s="82">
        <f>SUM(D11:E11)</f>
        <v>215443000</v>
      </c>
      <c r="G11" s="83">
        <f>C11-F11</f>
        <v>48586000</v>
      </c>
      <c r="I11" s="39"/>
    </row>
    <row r="12" spans="1:7" s="37" customFormat="1" ht="12.75">
      <c r="A12" s="69" t="s">
        <v>242</v>
      </c>
      <c r="B12" s="70"/>
      <c r="C12" s="71"/>
      <c r="D12" s="69" t="s">
        <v>242</v>
      </c>
      <c r="E12" s="70"/>
      <c r="F12" s="70"/>
      <c r="G12" s="72"/>
    </row>
    <row r="13" spans="1:7" s="37" customFormat="1" ht="24.75" customHeight="1" thickBot="1">
      <c r="A13" s="84">
        <f aca="true" t="shared" si="0" ref="A13:G13">A7+A9+A11</f>
        <v>525025000</v>
      </c>
      <c r="B13" s="85">
        <f t="shared" si="0"/>
        <v>10590000</v>
      </c>
      <c r="C13" s="86">
        <f t="shared" si="0"/>
        <v>535615000</v>
      </c>
      <c r="D13" s="84">
        <f t="shared" si="0"/>
        <v>407305000</v>
      </c>
      <c r="E13" s="85">
        <f t="shared" si="0"/>
        <v>128260000</v>
      </c>
      <c r="F13" s="85">
        <f t="shared" si="0"/>
        <v>535565000</v>
      </c>
      <c r="G13" s="87">
        <f t="shared" si="0"/>
        <v>50000</v>
      </c>
    </row>
    <row r="14" spans="1:7" s="37" customFormat="1" ht="12.75">
      <c r="A14" s="76"/>
      <c r="B14" s="75"/>
      <c r="C14" s="75"/>
      <c r="D14" s="75"/>
      <c r="E14" s="75"/>
      <c r="F14" s="75"/>
      <c r="G14" s="75"/>
    </row>
    <row r="15" spans="1:7" s="37" customFormat="1" ht="12.75">
      <c r="A15" s="75"/>
      <c r="B15" s="75"/>
      <c r="C15" s="75"/>
      <c r="D15" s="75"/>
      <c r="E15" s="75"/>
      <c r="F15" s="75"/>
      <c r="G15" s="75"/>
    </row>
    <row r="16" spans="1:7" s="37" customFormat="1" ht="12.75">
      <c r="A16" s="75"/>
      <c r="B16" s="75"/>
      <c r="C16" s="75"/>
      <c r="D16" s="75"/>
      <c r="E16" s="75"/>
      <c r="F16" s="75"/>
      <c r="G16" s="75"/>
    </row>
    <row r="17" s="37" customFormat="1" ht="12.75"/>
    <row r="18" spans="1:6" s="37" customFormat="1" ht="12.75">
      <c r="A18" t="s">
        <v>528</v>
      </c>
      <c r="E18" s="39"/>
      <c r="F18" s="39"/>
    </row>
    <row r="19" s="37" customFormat="1" ht="12.75">
      <c r="A19" t="s">
        <v>529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msu_kezmarok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2006-01-19T12:51:49Z</cp:lastPrinted>
  <dcterms:created xsi:type="dcterms:W3CDTF">2005-01-20T13:42:35Z</dcterms:created>
  <dcterms:modified xsi:type="dcterms:W3CDTF">2006-09-13T11:40:35Z</dcterms:modified>
  <cp:category/>
  <cp:version/>
  <cp:contentType/>
  <cp:contentStatus/>
</cp:coreProperties>
</file>